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19492E-9B3B-41BE-9FB5-2E35D702A181}" xr6:coauthVersionLast="47" xr6:coauthVersionMax="47" xr10:uidLastSave="{00000000-0000-0000-0000-000000000000}"/>
  <bookViews>
    <workbookView xWindow="-120" yWindow="-120" windowWidth="38640" windowHeight="15720" tabRatio="900" firstSheet="2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Cost Backup" sheetId="28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Assumptions!$A$3:$P$81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IS!$A$2:$Q$45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0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0" i="2" l="1"/>
  <c r="C10" i="2"/>
  <c r="D10" i="2"/>
  <c r="C11" i="2"/>
  <c r="D11" i="2"/>
  <c r="B13" i="2"/>
  <c r="C13" i="2"/>
  <c r="D13" i="2"/>
  <c r="AA13" i="2"/>
  <c r="U14" i="2"/>
  <c r="V14" i="2"/>
  <c r="W14" i="2"/>
  <c r="X14" i="2"/>
  <c r="Y14" i="2"/>
  <c r="Z14" i="2"/>
  <c r="AA14" i="2"/>
  <c r="AB14" i="2"/>
  <c r="N17" i="2"/>
  <c r="P17" i="2"/>
  <c r="B18" i="2"/>
  <c r="C18" i="2"/>
  <c r="D18" i="2"/>
  <c r="B19" i="2"/>
  <c r="D19" i="2"/>
  <c r="O19" i="2"/>
  <c r="B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N32" i="2"/>
  <c r="O32" i="2"/>
  <c r="B33" i="2"/>
  <c r="D33" i="2"/>
  <c r="G33" i="2"/>
  <c r="N33" i="2"/>
  <c r="O33" i="2"/>
  <c r="B34" i="2"/>
  <c r="D34" i="2"/>
  <c r="B35" i="2"/>
  <c r="C35" i="2"/>
  <c r="D35" i="2"/>
  <c r="G36" i="2"/>
  <c r="H36" i="2"/>
  <c r="B39" i="2"/>
  <c r="D39" i="2"/>
  <c r="B40" i="2"/>
  <c r="D40" i="2"/>
  <c r="G40" i="2"/>
  <c r="H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H48" i="2"/>
  <c r="B49" i="2"/>
  <c r="C49" i="2"/>
  <c r="D49" i="2"/>
  <c r="G49" i="2"/>
  <c r="H49" i="2"/>
  <c r="B50" i="2"/>
  <c r="D50" i="2"/>
  <c r="B51" i="2"/>
  <c r="C51" i="2"/>
  <c r="D51" i="2"/>
  <c r="B52" i="2"/>
  <c r="D52" i="2"/>
  <c r="B53" i="2"/>
  <c r="C53" i="2"/>
  <c r="D53" i="2"/>
  <c r="B56" i="2"/>
  <c r="D56" i="2"/>
  <c r="B57" i="2"/>
  <c r="D57" i="2"/>
  <c r="B58" i="2"/>
  <c r="D58" i="2"/>
  <c r="H58" i="2"/>
  <c r="B59" i="2"/>
  <c r="C59" i="2"/>
  <c r="D59" i="2"/>
  <c r="B61" i="2"/>
  <c r="C61" i="2"/>
  <c r="D61" i="2"/>
  <c r="H61" i="2"/>
  <c r="H63" i="2"/>
  <c r="C66" i="2"/>
  <c r="H67" i="2"/>
  <c r="H68" i="2"/>
  <c r="C69" i="2"/>
  <c r="D69" i="2"/>
  <c r="H70" i="2"/>
  <c r="C72" i="2"/>
  <c r="A73" i="2"/>
  <c r="C73" i="2"/>
  <c r="A74" i="2"/>
  <c r="C74" i="2"/>
  <c r="A75" i="2"/>
  <c r="C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F6" i="28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 xml:space="preserve">brogers:
Referenced from Caledonia model;
With stack included
</t>
        </r>
      </text>
    </comment>
    <comment ref="H13" authorId="0" shapeId="0">
      <text>
        <r>
          <rPr>
            <b/>
            <sz val="8"/>
            <color indexed="81"/>
            <rFont val="Tahoma"/>
          </rPr>
          <t xml:space="preserve">brogers:
Site conditions from Caledonia
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
Heat Rate From Caledonia site</t>
        </r>
      </text>
    </comment>
    <comment ref="H16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19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C43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Broad Assumption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C5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Broad Assumption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4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<sst xmlns="http://schemas.openxmlformats.org/spreadsheetml/2006/main" count="580" uniqueCount="454">
  <si>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</si>
  <si>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</si>
  <si>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</si>
  <si>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</si>
  <si>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</si>
  <si>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</si>
  <si>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</si>
  <si>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</si>
  <si>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</si>
  <si>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</si>
  <si>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</si>
  <si>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</si>
  <si>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</si>
  <si>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</si>
  <si>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</si>
  <si>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</si>
  <si>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</si>
  <si>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</si>
  <si>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</si>
  <si>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</si>
  <si>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</si>
  <si>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</si>
  <si>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</si>
  <si>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</si>
  <si>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</si>
  <si>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</si>
  <si>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</si>
  <si>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</si>
  <si>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</si>
  <si>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</si>
  <si>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</si>
  <si>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</si>
  <si>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</si>
  <si>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</si>
  <si>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</si>
  <si>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</si>
  <si>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</si>
  <si>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</si>
  <si>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</si>
  <si>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</si>
  <si>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</si>
  <si>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</si>
  <si>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</si>
  <si>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</si>
  <si>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</si>
  <si>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</si>
  <si>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</si>
  <si>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</si>
  <si>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</si>
  <si>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</si>
  <si>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</si>
  <si>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</si>
  <si>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</si>
  <si>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</si>
  <si>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</si>
  <si>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</si>
  <si>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</si>
  <si>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</si>
  <si>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</si>
  <si>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</si>
  <si>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</si>
  <si>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</si>
  <si>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</si>
  <si>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</si>
  <si>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</si>
  <si>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</si>
  <si>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</si>
  <si>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</si>
  <si>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</si>
  <si>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</si>
  <si>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</si>
  <si>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</si>
  <si>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</si>
  <si>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</si>
  <si>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</si>
  <si>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</si>
  <si>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</si>
  <si>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</si>
  <si>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</si>
  <si>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</si>
  <si>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</si>
  <si>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</si>
  <si>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</si>
  <si>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</si>
  <si>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</si>
  <si>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</si>
  <si>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</si>
  <si>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</si>
  <si>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</si>
  <si>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</si>
  <si>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</si>
  <si>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</si>
  <si>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</si>
  <si>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</si>
  <si>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</si>
  <si>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</si>
  <si>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</si>
  <si>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</si>
  <si>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</si>
  <si>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</si>
  <si>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</si>
  <si>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</si>
  <si>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</si>
  <si>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</si>
  <si>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</si>
  <si>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</si>
  <si>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</si>
  <si>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</si>
  <si>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Spare Parts</t>
  </si>
  <si>
    <t>DEBT</t>
  </si>
  <si>
    <t>EQUITY</t>
  </si>
  <si>
    <t>FINANCING ASSUMPTIONS: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</si>
  <si>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</si>
  <si>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</si>
  <si>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</si>
  <si>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</si>
  <si>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</si>
  <si>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</si>
  <si>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</si>
  <si>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</si>
  <si>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</si>
  <si>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</si>
  <si>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</si>
  <si>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</si>
  <si>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</si>
  <si>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</si>
  <si>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</si>
  <si>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</si>
  <si>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</si>
  <si>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</si>
  <si>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</si>
  <si>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</si>
  <si>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</si>
  <si>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</si>
  <si>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</si>
  <si>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</si>
  <si>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</si>
  <si>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</si>
  <si>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</si>
  <si>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</si>
  <si>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</si>
  <si>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</si>
  <si>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</si>
  <si>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</si>
  <si>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</si>
  <si>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</si>
  <si>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</si>
  <si>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</si>
  <si>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</si>
  <si>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</si>
  <si>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</si>
  <si>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</si>
  <si>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</si>
  <si>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</si>
  <si>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</si>
  <si>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</si>
  <si>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</si>
  <si>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</si>
  <si>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</si>
  <si>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</si>
  <si>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</si>
  <si>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</si>
  <si>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</si>
  <si>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</si>
  <si>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</si>
  <si>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</si>
  <si>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</si>
  <si>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</si>
  <si>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</si>
  <si>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</si>
  <si>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</si>
  <si>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</si>
  <si>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</si>
  <si>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</si>
  <si>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</si>
  <si>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</si>
  <si>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</si>
  <si>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</si>
  <si>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</si>
  <si>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</si>
  <si>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</si>
  <si>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</si>
  <si>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</si>
  <si>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</si>
  <si>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</si>
  <si>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</si>
  <si>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</si>
  <si>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</si>
  <si>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</si>
  <si>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</si>
  <si>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</si>
  <si>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</si>
  <si>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</si>
  <si>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</si>
  <si>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</si>
  <si>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</si>
  <si>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</si>
  <si>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</si>
  <si>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</si>
  <si>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</si>
  <si>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</si>
  <si>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</si>
  <si>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</si>
  <si>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</si>
  <si>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</si>
  <si>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</si>
  <si>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</si>
  <si>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</si>
  <si>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</si>
  <si>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</si>
  <si>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</si>
  <si>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</si>
  <si>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</si>
  <si>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</si>
  <si>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</si>
  <si>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</si>
  <si>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</si>
  <si>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</si>
  <si>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</si>
  <si>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</si>
  <si>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</si>
  <si>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</si>
  <si>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</si>
  <si>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</si>
  <si>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</si>
  <si>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</si>
  <si>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</si>
  <si>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</si>
  <si>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</si>
  <si>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</si>
  <si>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</si>
  <si>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</si>
  <si>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</si>
  <si>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</si>
  <si>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</si>
  <si>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</si>
  <si>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</si>
  <si>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</si>
  <si>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</si>
  <si>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</si>
  <si>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</si>
  <si>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</si>
  <si>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</si>
  <si>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</si>
  <si>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</si>
  <si>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</si>
  <si>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</si>
  <si>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</si>
  <si>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</si>
  <si>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</si>
  <si>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</si>
  <si>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</si>
  <si>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</si>
  <si>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</si>
  <si>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</si>
  <si>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</si>
  <si>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</si>
  <si>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</si>
  <si>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</si>
  <si>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</si>
  <si>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</si>
  <si>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</si>
  <si>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</si>
  <si>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</si>
  <si>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</si>
  <si>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</si>
  <si>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</si>
  <si>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</si>
  <si>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</si>
  <si>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</si>
  <si>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</si>
  <si>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</si>
  <si>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</si>
  <si>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</si>
  <si>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</si>
  <si>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</si>
  <si>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</si>
  <si>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</si>
  <si>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</si>
  <si>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</si>
  <si>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</si>
  <si>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</si>
  <si>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</si>
  <si>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</si>
  <si>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</si>
  <si>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</si>
  <si>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</si>
  <si>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</si>
  <si>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</si>
  <si>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</si>
  <si>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</si>
  <si>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</si>
  <si>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</si>
  <si>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</si>
  <si>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</si>
  <si>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</si>
  <si>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</si>
  <si>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</si>
  <si>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</si>
  <si>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</si>
  <si>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</si>
  <si>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</si>
  <si>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</si>
  <si>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</si>
  <si>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</si>
  <si>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</si>
  <si>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</si>
  <si>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</si>
  <si>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</si>
  <si>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</si>
  <si>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</si>
  <si>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</si>
  <si>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</si>
  <si>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</si>
  <si>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</si>
  <si>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</si>
  <si>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</si>
  <si>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</si>
  <si>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</si>
  <si>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</si>
  <si>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</si>
  <si>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</si>
  <si>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</si>
  <si>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</si>
  <si>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</si>
  <si>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</si>
  <si>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</si>
  <si>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</si>
  <si>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</si>
  <si>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</si>
  <si>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</si>
  <si>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</si>
  <si>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</si>
  <si>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</si>
  <si>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</si>
  <si>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</si>
  <si>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</si>
  <si>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</si>
  <si>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</si>
  <si>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</si>
  <si>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</si>
  <si>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</si>
  <si>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</si>
  <si>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</si>
  <si>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</si>
  <si>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</si>
  <si>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</si>
  <si>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</si>
  <si>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</si>
  <si>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</si>
  <si>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</si>
  <si>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</si>
  <si>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</si>
  <si>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</si>
  <si>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</si>
  <si>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</si>
  <si>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</si>
  <si>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</si>
  <si>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</si>
  <si>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</si>
  <si>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</si>
  <si>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</si>
  <si>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</si>
  <si>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</si>
  <si>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</si>
  <si>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</si>
  <si>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</si>
  <si>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</si>
  <si>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</si>
  <si>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</si>
  <si>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</si>
  <si>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</si>
  <si>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</si>
  <si>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</si>
  <si>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</si>
  <si>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</si>
  <si>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</si>
  <si>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</si>
  <si>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</si>
  <si>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</si>
  <si>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</si>
  <si>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</si>
  <si>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</si>
  <si>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</si>
  <si>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</si>
  <si>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</si>
  <si>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</si>
  <si>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</si>
  <si>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</si>
  <si>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</si>
  <si>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</si>
  <si>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</si>
  <si>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</si>
  <si>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</si>
  <si>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</si>
  <si>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</si>
  <si>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</si>
  <si>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</si>
  <si>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</si>
  <si>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</si>
  <si>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</si>
  <si>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</si>
  <si>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</si>
  <si>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</si>
  <si>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</si>
  <si>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</si>
  <si>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</si>
  <si>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</si>
  <si>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</si>
  <si>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</si>
  <si>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</si>
  <si>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</si>
  <si>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</si>
  <si>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</si>
  <si>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</si>
  <si>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</si>
  <si>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</si>
  <si>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</si>
  <si>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</si>
  <si>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</si>
  <si>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</si>
  <si>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>Index (Tenn Zone 6)</t>
  </si>
  <si>
    <t xml:space="preserve">  EE&amp;CC Program Management</t>
  </si>
  <si>
    <t>Target</t>
  </si>
  <si>
    <t>20 Yrs After-Tax Cashflow with Zero Residual Value</t>
  </si>
  <si>
    <t xml:space="preserve">  Enhanced Sprint Option</t>
  </si>
  <si>
    <t xml:space="preserve">  Turbo Charger On</t>
  </si>
  <si>
    <t xml:space="preserve">  LMP Cost Adder</t>
  </si>
  <si>
    <t>LMP Adder</t>
  </si>
  <si>
    <t>Basis Per Turbine w/Enhanced Sprint Option</t>
  </si>
  <si>
    <t>Maintenance Exp.</t>
  </si>
  <si>
    <t>PROJECT NAME: CIPCO</t>
  </si>
  <si>
    <t>GE 7 EA</t>
  </si>
  <si>
    <t>IO</t>
  </si>
  <si>
    <t xml:space="preserve">  Major Mechanical Equipment</t>
  </si>
  <si>
    <t xml:space="preserve">  Major Electrical Equipment</t>
  </si>
  <si>
    <t xml:space="preserve">  Engineered BOP Equipment</t>
  </si>
  <si>
    <t xml:space="preserve">  Civil Construction</t>
  </si>
  <si>
    <t xml:space="preserve">  Mechanical Construction</t>
  </si>
  <si>
    <t xml:space="preserve">  Electrical, I&amp;C</t>
  </si>
  <si>
    <t xml:space="preserve">  Engineering Rework</t>
  </si>
  <si>
    <t xml:space="preserve">  Switchyard</t>
  </si>
  <si>
    <t xml:space="preserve">  Construction Indirects/Overheads</t>
  </si>
  <si>
    <t xml:space="preserve">  Change Orders</t>
  </si>
  <si>
    <t xml:space="preserve">  Nepco Margin</t>
  </si>
  <si>
    <t>Net Turbine Rating (MW) - Site</t>
  </si>
  <si>
    <t>Net Turbine Rating (MW) - ISO</t>
  </si>
  <si>
    <t>Gas Turbines</t>
  </si>
  <si>
    <t>Caledonia Cost Summary</t>
  </si>
  <si>
    <t>CIPCO Costs</t>
  </si>
  <si>
    <t>Caledonia Costs</t>
  </si>
  <si>
    <t>Adjustor</t>
  </si>
  <si>
    <t>Direct Costs:</t>
  </si>
  <si>
    <t xml:space="preserve">  Pipelines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</si>
</sst>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10" fontId="22" fillId="0" borderId="9" xfId="20" applyNumberFormat="1" applyFont="1" applyBorder="1" applyAlignment="1">
      <alignment horizontal="center"/>
    </xf>
    <xf numFmtId="0" fontId="9" fillId="4" borderId="10" xfId="0" applyFont="1" applyFill="1" applyBorder="1"/>
    <xf numFmtId="0" fontId="9" fillId="4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6" fontId="31" fillId="0" borderId="9" xfId="0" applyNumberFormat="1" applyFont="1" applyBorder="1" applyAlignment="1">
      <alignment horizontal="center"/>
    </xf>
    <xf numFmtId="40" fontId="31" fillId="0" borderId="9" xfId="3" applyNumberFormat="1" applyFont="1" applyFill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205" fontId="33" fillId="8" borderId="0" xfId="0" applyNumberFormat="1" applyFont="1" applyFill="1" applyBorder="1"/>
    <xf numFmtId="205" fontId="31" fillId="8" borderId="0" xfId="0" applyNumberFormat="1" applyFont="1" applyFill="1" applyBorder="1"/>
    <xf numFmtId="9" fontId="109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3" fillId="0" borderId="0" xfId="4" applyNumberFormat="1" applyFon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9C912F6-5B7D-1231-EA46-0309D7929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200025</xdr:rowOff>
        </xdr:from>
        <xdr:to>
          <xdr:col>7</xdr:col>
          <xdr:colOff>1190625</xdr:colOff>
          <xdr:row>59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F242F39F-3D9C-CE49-04FD-0A172DDCCC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9525</xdr:rowOff>
        </xdr:from>
        <xdr:to>
          <xdr:col>9</xdr:col>
          <xdr:colOff>0</xdr:colOff>
          <xdr:row>61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79777216-0EA0-36FE-F3A2-818C6B4BD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180975</xdr:rowOff>
        </xdr:from>
        <xdr:to>
          <xdr:col>6</xdr:col>
          <xdr:colOff>1190625</xdr:colOff>
          <xdr:row>28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827DFBE2-0A8E-5259-6D96-E6BAFBB7B8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2D00409C-B3C1-1FB5-FF7B-DB4CAFB45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7" t="s">
        <v>158</v>
      </c>
      <c r="C2" s="5"/>
    </row>
    <row r="3" spans="1:18" s="46" customFormat="1" ht="15.75"/>
    <row r="4" spans="1:18" s="46" customFormat="1" ht="18.75">
      <c r="A4" s="464">
        <v>1</v>
      </c>
      <c r="B4" s="203" t="s">
        <v>386</v>
      </c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</row>
    <row r="5" spans="1:18" s="46" customFormat="1" ht="18.75">
      <c r="B5" s="203" t="s">
        <v>387</v>
      </c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</row>
    <row r="6" spans="1:18" s="46" customFormat="1" ht="15.75">
      <c r="A6" s="12">
        <v>2</v>
      </c>
      <c r="B6" s="53" t="s">
        <v>299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307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398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7" t="s">
        <v>196</v>
      </c>
    </row>
    <row r="13" spans="1:18" s="46" customFormat="1" ht="15.75">
      <c r="A13" s="465"/>
      <c r="B13" s="12"/>
      <c r="C13" s="12"/>
      <c r="D13" s="12"/>
      <c r="E13" s="12"/>
      <c r="F13" s="12"/>
      <c r="G13" s="12"/>
      <c r="H13" s="12"/>
      <c r="I13" s="466" t="s">
        <v>197</v>
      </c>
      <c r="J13" s="12"/>
      <c r="K13" s="12"/>
      <c r="L13" s="12"/>
      <c r="M13" s="12"/>
      <c r="N13" s="12"/>
      <c r="O13" s="466"/>
      <c r="P13" s="12"/>
    </row>
    <row r="14" spans="1:18" s="46" customFormat="1" ht="15.75">
      <c r="A14" s="12">
        <v>1</v>
      </c>
      <c r="B14" s="12" t="s">
        <v>359</v>
      </c>
      <c r="C14" s="12"/>
      <c r="D14" s="12"/>
      <c r="E14" s="12"/>
      <c r="F14" s="12"/>
      <c r="G14" s="12"/>
      <c r="H14" s="12"/>
      <c r="I14" s="12" t="s">
        <v>198</v>
      </c>
      <c r="J14" s="12"/>
      <c r="K14" s="12"/>
      <c r="L14" s="12"/>
      <c r="M14" s="12"/>
      <c r="N14" s="12"/>
      <c r="O14" s="467"/>
      <c r="P14" s="12"/>
    </row>
    <row r="15" spans="1:18" s="46" customFormat="1" ht="15.75">
      <c r="A15" s="12"/>
      <c r="B15" s="12" t="s">
        <v>261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7"/>
      <c r="P15" s="12"/>
    </row>
    <row r="16" spans="1:18" s="46" customFormat="1" ht="15.75">
      <c r="A16" s="12">
        <v>2</v>
      </c>
      <c r="B16" s="12" t="s">
        <v>223</v>
      </c>
      <c r="C16" s="12"/>
      <c r="D16" s="12"/>
      <c r="E16" s="12"/>
      <c r="F16" s="12"/>
      <c r="G16" s="12"/>
      <c r="H16" s="12"/>
      <c r="I16" s="12" t="s">
        <v>198</v>
      </c>
      <c r="J16" s="12"/>
      <c r="K16" s="12"/>
      <c r="L16" s="12"/>
      <c r="M16" s="12"/>
      <c r="N16" s="12"/>
      <c r="O16" s="46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354</v>
      </c>
      <c r="J17" s="12"/>
      <c r="K17" s="12"/>
      <c r="L17" s="12"/>
      <c r="M17" s="12"/>
      <c r="N17" s="12"/>
      <c r="O17" s="467"/>
      <c r="P17" s="12"/>
    </row>
    <row r="18" spans="1:16" s="46" customFormat="1" ht="15.75">
      <c r="A18" s="12">
        <v>4</v>
      </c>
      <c r="B18" s="12" t="s">
        <v>248</v>
      </c>
      <c r="C18" s="12"/>
      <c r="D18" s="12"/>
      <c r="E18" s="12"/>
      <c r="F18" s="12"/>
      <c r="G18" s="12"/>
      <c r="H18" s="12"/>
      <c r="I18" s="12" t="s">
        <v>405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301</v>
      </c>
      <c r="C19" s="12"/>
      <c r="D19" s="12"/>
      <c r="E19" s="12"/>
      <c r="F19" s="12"/>
      <c r="G19" s="12"/>
      <c r="H19" s="12"/>
      <c r="I19" s="12" t="s">
        <v>271</v>
      </c>
      <c r="J19" s="12"/>
      <c r="K19" s="12"/>
      <c r="L19" s="12"/>
      <c r="M19" s="12"/>
      <c r="N19" s="12"/>
      <c r="O19" s="467"/>
      <c r="P19" s="12"/>
    </row>
    <row r="20" spans="1:16" s="46" customFormat="1" ht="15.75">
      <c r="A20" s="12">
        <v>6</v>
      </c>
      <c r="B20" s="12" t="s">
        <v>321</v>
      </c>
      <c r="C20" s="12"/>
      <c r="D20" s="12"/>
      <c r="E20" s="12"/>
      <c r="F20" s="12"/>
      <c r="G20" s="12"/>
      <c r="H20" s="12"/>
      <c r="I20" s="12" t="s">
        <v>322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352</v>
      </c>
      <c r="C21" s="12"/>
      <c r="D21" s="12"/>
      <c r="E21" s="12"/>
      <c r="F21" s="12"/>
      <c r="G21" s="12"/>
      <c r="H21" s="12"/>
      <c r="I21" s="12" t="s">
        <v>271</v>
      </c>
      <c r="J21" s="12"/>
      <c r="K21" s="12"/>
      <c r="L21" s="12"/>
      <c r="M21" s="12"/>
      <c r="N21" s="12"/>
      <c r="O21" s="467"/>
      <c r="P21" s="12"/>
    </row>
    <row r="22" spans="1:16" s="46" customFormat="1" ht="15.75">
      <c r="A22" s="12">
        <v>8</v>
      </c>
      <c r="B22" s="12" t="s">
        <v>355</v>
      </c>
      <c r="C22" s="12"/>
      <c r="D22" s="12"/>
      <c r="E22" s="12"/>
      <c r="F22" s="12"/>
      <c r="G22" s="12"/>
      <c r="H22" s="12"/>
      <c r="I22" s="12" t="s">
        <v>356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395</v>
      </c>
      <c r="C23" s="12"/>
      <c r="D23" s="12"/>
      <c r="E23" s="12"/>
      <c r="F23" s="12"/>
      <c r="G23" s="12"/>
      <c r="H23" s="12"/>
      <c r="I23" s="12" t="s">
        <v>271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7" t="s">
        <v>264</v>
      </c>
    </row>
    <row r="28" spans="1:16" s="46" customFormat="1" ht="18.75">
      <c r="A28" s="276"/>
    </row>
    <row r="29" spans="1:16" s="46" customFormat="1" ht="15.75">
      <c r="A29" s="12"/>
      <c r="B29" s="468" t="s">
        <v>289</v>
      </c>
      <c r="C29" s="12"/>
      <c r="D29" s="12"/>
      <c r="E29" s="468" t="s">
        <v>288</v>
      </c>
      <c r="F29" s="468"/>
      <c r="G29" s="468"/>
      <c r="H29" s="468" t="s">
        <v>290</v>
      </c>
      <c r="I29" s="12"/>
      <c r="J29" s="12"/>
    </row>
    <row r="30" spans="1:16" s="46" customFormat="1" ht="15.75">
      <c r="A30" s="12"/>
      <c r="B30" s="12" t="s">
        <v>361</v>
      </c>
      <c r="C30" s="12"/>
      <c r="D30" s="12"/>
      <c r="E30" s="12" t="s">
        <v>273</v>
      </c>
      <c r="F30" s="12"/>
      <c r="G30" s="12"/>
      <c r="H30" s="12" t="s">
        <v>285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274</v>
      </c>
      <c r="F31" s="12"/>
      <c r="G31" s="12"/>
      <c r="H31" s="12" t="s">
        <v>286</v>
      </c>
      <c r="I31" s="12"/>
      <c r="J31" s="12"/>
    </row>
    <row r="32" spans="1:16" s="46" customFormat="1" ht="15.75">
      <c r="A32" s="12"/>
      <c r="B32" s="12" t="s">
        <v>362</v>
      </c>
      <c r="C32" s="12"/>
      <c r="D32" s="12"/>
      <c r="E32" s="12" t="s">
        <v>275</v>
      </c>
      <c r="F32" s="12"/>
      <c r="G32" s="12"/>
      <c r="H32" s="12" t="s">
        <v>287</v>
      </c>
      <c r="I32" s="12"/>
      <c r="J32" s="12"/>
    </row>
    <row r="33" spans="1:10" s="46" customFormat="1" ht="15.75">
      <c r="A33" s="12"/>
      <c r="B33" s="12" t="s">
        <v>269</v>
      </c>
      <c r="C33" s="12"/>
      <c r="D33" s="12"/>
      <c r="E33" s="12" t="s">
        <v>270</v>
      </c>
      <c r="F33" s="12"/>
      <c r="G33" s="12"/>
      <c r="H33" s="12" t="s">
        <v>282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271</v>
      </c>
      <c r="F34" s="12"/>
      <c r="G34" s="12"/>
      <c r="H34" s="12" t="s">
        <v>283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272</v>
      </c>
      <c r="F35" s="12"/>
      <c r="G35" s="12"/>
      <c r="H35" s="12" t="s">
        <v>284</v>
      </c>
      <c r="I35" s="12"/>
      <c r="J35" s="12"/>
    </row>
    <row r="36" spans="1:10" s="46" customFormat="1" ht="15.75">
      <c r="A36" s="12"/>
      <c r="B36" s="12" t="s">
        <v>267</v>
      </c>
      <c r="C36" s="12"/>
      <c r="D36" s="12"/>
      <c r="E36" s="12" t="s">
        <v>268</v>
      </c>
      <c r="F36" s="12"/>
      <c r="G36" s="12"/>
      <c r="H36" s="12" t="s">
        <v>281</v>
      </c>
      <c r="I36" s="12"/>
      <c r="J36" s="12"/>
    </row>
    <row r="37" spans="1:10" s="46" customFormat="1" ht="15.75">
      <c r="A37" s="12"/>
      <c r="B37" s="12" t="s">
        <v>321</v>
      </c>
      <c r="C37" s="12"/>
      <c r="D37" s="12"/>
      <c r="E37" s="12" t="s">
        <v>322</v>
      </c>
      <c r="F37" s="12"/>
      <c r="G37" s="12"/>
      <c r="H37" s="12" t="s">
        <v>319</v>
      </c>
      <c r="I37" s="12"/>
      <c r="J37" s="12"/>
    </row>
    <row r="38" spans="1:10" s="46" customFormat="1" ht="15.75">
      <c r="A38" s="12"/>
      <c r="B38" s="12" t="s">
        <v>265</v>
      </c>
      <c r="C38" s="12"/>
      <c r="D38" s="12"/>
      <c r="E38" s="12" t="s">
        <v>266</v>
      </c>
      <c r="F38" s="12"/>
      <c r="G38" s="12"/>
      <c r="H38" s="12" t="s">
        <v>320</v>
      </c>
      <c r="I38" s="12"/>
      <c r="J38" s="12"/>
    </row>
    <row r="39" spans="1:10" s="46" customFormat="1" ht="15.75">
      <c r="A39" s="12"/>
      <c r="B39" s="12" t="s">
        <v>400</v>
      </c>
      <c r="C39" s="12"/>
      <c r="D39" s="12"/>
      <c r="E39" s="12" t="s">
        <v>384</v>
      </c>
      <c r="F39" s="12"/>
      <c r="G39" s="12"/>
      <c r="H39" s="12" t="s">
        <v>385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409</v>
      </c>
      <c r="F40" s="12"/>
      <c r="G40" s="12"/>
      <c r="H40" s="12" t="s">
        <v>410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198</v>
      </c>
      <c r="F41" s="12"/>
      <c r="G41" s="12"/>
      <c r="H41" s="12" t="s">
        <v>280</v>
      </c>
      <c r="I41" s="12"/>
      <c r="J41" s="12"/>
    </row>
    <row r="42" spans="1:10" s="46" customFormat="1" ht="15.75">
      <c r="A42" s="12"/>
      <c r="B42" s="12" t="s">
        <v>357</v>
      </c>
      <c r="C42" s="12"/>
      <c r="D42" s="12"/>
      <c r="E42" s="12" t="s">
        <v>382</v>
      </c>
      <c r="F42" s="12"/>
      <c r="G42" s="12"/>
      <c r="H42" s="12" t="s">
        <v>383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356</v>
      </c>
      <c r="F43" s="12"/>
      <c r="G43" s="12"/>
      <c r="H43" s="12" t="s">
        <v>358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E21" sqref="E21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CIPCO</v>
      </c>
    </row>
    <row r="4" spans="1:34" ht="18.75">
      <c r="A4" s="60" t="s">
        <v>94</v>
      </c>
    </row>
    <row r="5" spans="1:34">
      <c r="Z5" s="163"/>
    </row>
    <row r="6" spans="1:34"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34" s="25" customFormat="1" ht="13.5" thickBot="1">
      <c r="A7" s="121" t="s">
        <v>39</v>
      </c>
      <c r="B7" s="141"/>
      <c r="C7" s="141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6"/>
      <c r="B8" s="142"/>
      <c r="C8" s="142"/>
      <c r="D8" s="202">
        <f>IS!C8</f>
        <v>37256</v>
      </c>
      <c r="E8" s="202">
        <f>IS!D8</f>
        <v>37621</v>
      </c>
      <c r="F8" s="202">
        <f>IS!E8</f>
        <v>37986</v>
      </c>
      <c r="G8" s="202">
        <f>IS!F8</f>
        <v>38352</v>
      </c>
      <c r="H8" s="202">
        <f>IS!G8</f>
        <v>38717</v>
      </c>
      <c r="I8" s="202">
        <f>IS!H8</f>
        <v>39082</v>
      </c>
      <c r="J8" s="202">
        <f>IS!I8</f>
        <v>39447</v>
      </c>
      <c r="K8" s="202">
        <f>IS!J8</f>
        <v>39813</v>
      </c>
      <c r="L8" s="202">
        <f>IS!K8</f>
        <v>40178</v>
      </c>
      <c r="M8" s="202">
        <f>IS!L8</f>
        <v>40543</v>
      </c>
      <c r="N8" s="202">
        <f>IS!M8</f>
        <v>40908</v>
      </c>
      <c r="O8" s="202">
        <f>IS!N8</f>
        <v>41274</v>
      </c>
      <c r="P8" s="202">
        <f>IS!O8</f>
        <v>41639</v>
      </c>
      <c r="Q8" s="202">
        <f>IS!P8</f>
        <v>42004</v>
      </c>
      <c r="R8" s="202">
        <f>IS!Q8</f>
        <v>42369</v>
      </c>
      <c r="S8" s="202">
        <f>IS!R8</f>
        <v>42735</v>
      </c>
      <c r="T8" s="202">
        <f>IS!S8</f>
        <v>43100</v>
      </c>
      <c r="U8" s="202">
        <f>IS!T8</f>
        <v>43465</v>
      </c>
      <c r="V8" s="202">
        <f>IS!U8</f>
        <v>43830</v>
      </c>
      <c r="W8" s="202">
        <f>IS!V8</f>
        <v>44196</v>
      </c>
      <c r="X8" s="202">
        <f>IS!W8</f>
        <v>44561</v>
      </c>
      <c r="Y8" s="202">
        <f>IS!X8</f>
        <v>44926</v>
      </c>
      <c r="Z8" s="202">
        <f>IS!Y8</f>
        <v>45291</v>
      </c>
      <c r="AA8" s="202">
        <f>IS!Z8</f>
        <v>45657</v>
      </c>
      <c r="AB8" s="202">
        <f>IS!AA8</f>
        <v>46022</v>
      </c>
      <c r="AC8" s="202">
        <f>IS!AB8</f>
        <v>46387</v>
      </c>
      <c r="AD8" s="202">
        <f>IS!AC8</f>
        <v>46752</v>
      </c>
      <c r="AE8" s="202">
        <f>IS!AD8</f>
        <v>47118</v>
      </c>
      <c r="AF8" s="202">
        <f>IS!AE8</f>
        <v>47483</v>
      </c>
      <c r="AG8" s="202">
        <f>IS!AF8</f>
        <v>47848</v>
      </c>
      <c r="AH8" s="202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240</v>
      </c>
      <c r="B12" s="31">
        <f>Assumptions!$N$39</f>
        <v>15</v>
      </c>
      <c r="C12" s="32"/>
      <c r="D12" s="273">
        <v>0.05</v>
      </c>
      <c r="E12" s="273">
        <v>9.5000000000000001E-2</v>
      </c>
      <c r="F12" s="273">
        <v>8.5500000000000007E-2</v>
      </c>
      <c r="G12" s="273">
        <v>7.6999999999999999E-2</v>
      </c>
      <c r="H12" s="273">
        <v>6.93E-2</v>
      </c>
      <c r="I12" s="273">
        <v>6.2300000000000001E-2</v>
      </c>
      <c r="J12" s="273">
        <v>5.8999999999999997E-2</v>
      </c>
      <c r="K12" s="273">
        <v>5.91E-2</v>
      </c>
      <c r="L12" s="273">
        <v>5.8999999999999997E-2</v>
      </c>
      <c r="M12" s="273">
        <v>5.91E-2</v>
      </c>
      <c r="N12" s="273">
        <v>5.8999999999999997E-2</v>
      </c>
      <c r="O12" s="273">
        <v>5.91E-2</v>
      </c>
      <c r="P12" s="273">
        <v>5.8999999999999997E-2</v>
      </c>
      <c r="Q12" s="273">
        <v>5.91E-2</v>
      </c>
      <c r="R12" s="273">
        <v>5.8999999999999997E-2</v>
      </c>
      <c r="S12" s="273">
        <v>2.9499999999999998E-2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  <c r="AD12" s="273">
        <v>0</v>
      </c>
      <c r="AE12" s="273">
        <v>0</v>
      </c>
      <c r="AF12" s="273">
        <v>0</v>
      </c>
      <c r="AG12" s="273">
        <v>0</v>
      </c>
      <c r="AH12" s="273">
        <v>0</v>
      </c>
    </row>
    <row r="13" spans="1:34" s="10" customFormat="1">
      <c r="A13" s="21" t="s">
        <v>241</v>
      </c>
      <c r="B13" s="31">
        <f>Assumptions!$N$40</f>
        <v>5</v>
      </c>
      <c r="C13" s="32"/>
      <c r="D13" s="273">
        <f>1/$B$13*D6</f>
        <v>0.13333333333333333</v>
      </c>
      <c r="E13" s="273">
        <f>1/$B$13</f>
        <v>0.2</v>
      </c>
      <c r="F13" s="273">
        <f>1/$B$13</f>
        <v>0.2</v>
      </c>
      <c r="G13" s="273">
        <f>1/$B$13</f>
        <v>0.2</v>
      </c>
      <c r="H13" s="273">
        <f>1/$B$13</f>
        <v>0.2</v>
      </c>
      <c r="I13" s="273">
        <f>1/B13-D13</f>
        <v>6.666666666666668E-2</v>
      </c>
      <c r="J13" s="273">
        <v>0</v>
      </c>
      <c r="K13" s="273">
        <v>0</v>
      </c>
      <c r="L13" s="273">
        <v>0</v>
      </c>
      <c r="M13" s="273">
        <v>0</v>
      </c>
      <c r="N13" s="273">
        <v>0</v>
      </c>
      <c r="O13" s="273">
        <v>0</v>
      </c>
      <c r="P13" s="273">
        <v>0</v>
      </c>
      <c r="Q13" s="273">
        <v>0</v>
      </c>
      <c r="R13" s="273">
        <v>0</v>
      </c>
      <c r="S13" s="273">
        <v>0</v>
      </c>
      <c r="T13" s="273">
        <v>0</v>
      </c>
      <c r="U13" s="273">
        <v>0</v>
      </c>
      <c r="V13" s="273">
        <v>0</v>
      </c>
      <c r="W13" s="273">
        <v>0</v>
      </c>
      <c r="X13" s="273">
        <v>0</v>
      </c>
      <c r="Y13" s="273">
        <v>0</v>
      </c>
      <c r="Z13" s="273">
        <v>0</v>
      </c>
      <c r="AA13" s="273">
        <v>0</v>
      </c>
      <c r="AB13" s="273">
        <v>0</v>
      </c>
      <c r="AC13" s="273">
        <v>0</v>
      </c>
      <c r="AD13" s="273">
        <v>0</v>
      </c>
      <c r="AE13" s="273">
        <v>0</v>
      </c>
      <c r="AF13" s="273">
        <v>0</v>
      </c>
      <c r="AG13" s="273">
        <v>0</v>
      </c>
      <c r="AH13" s="273">
        <v>0</v>
      </c>
    </row>
    <row r="14" spans="1:34" s="70" customFormat="1">
      <c r="A14" s="22" t="s">
        <v>306</v>
      </c>
      <c r="B14" s="68">
        <f>Assumptions!$N$41</f>
        <v>20</v>
      </c>
      <c r="C14" s="69"/>
      <c r="D14" s="273">
        <f>1/Assumptions!$N$41*D6</f>
        <v>3.3333333333333333E-2</v>
      </c>
      <c r="E14" s="273">
        <f>IF(AND(E6&gt;=Assumptions!$N$41,D6&lt;Assumptions!$N$41),1/Assumptions!$N$41-Depreciation!$D$14,IF(E6&lt;Assumptions!$N$41,1/Assumptions!$N$41,0))</f>
        <v>0.05</v>
      </c>
      <c r="F14" s="273">
        <f>IF(AND(F6&gt;=Assumptions!$N$41,E6&lt;Assumptions!$N$41),1/Assumptions!$N$41-Depreciation!$D$14,IF(F6&lt;Assumptions!$N$41,1/Assumptions!$N$41,0))</f>
        <v>0.05</v>
      </c>
      <c r="G14" s="273">
        <f>IF(AND(G6&gt;=Assumptions!$N$41,F6&lt;Assumptions!$N$41),1/Assumptions!$N$41-Depreciation!$D$14,IF(G6&lt;Assumptions!$N$41,1/Assumptions!$N$41,0))</f>
        <v>0.05</v>
      </c>
      <c r="H14" s="273">
        <f>IF(AND(H6&gt;=Assumptions!$N$41,G6&lt;Assumptions!$N$41),1/Assumptions!$N$41-Depreciation!$D$14,IF(H6&lt;Assumptions!$N$41,1/Assumptions!$N$41,0))</f>
        <v>0.05</v>
      </c>
      <c r="I14" s="273">
        <f>IF(AND(I6&gt;=Assumptions!$N$41,H6&lt;Assumptions!$N$41),1/Assumptions!$N$41-Depreciation!$D$14,IF(I6&lt;Assumptions!$N$41,1/Assumptions!$N$41,0))</f>
        <v>0.05</v>
      </c>
      <c r="J14" s="273">
        <f>IF(AND(J6&gt;=Assumptions!$N$41,I6&lt;Assumptions!$N$41),1/Assumptions!$N$41-Depreciation!$D$14,IF(J6&lt;Assumptions!$N$41,1/Assumptions!$N$41,0))</f>
        <v>0.05</v>
      </c>
      <c r="K14" s="273">
        <f>IF(AND(K6&gt;=Assumptions!$N$41,J6&lt;Assumptions!$N$41),1/Assumptions!$N$41-Depreciation!$D$14,IF(K6&lt;Assumptions!$N$41,1/Assumptions!$N$41,0))</f>
        <v>0.05</v>
      </c>
      <c r="L14" s="273">
        <f>IF(AND(L6&gt;=Assumptions!$N$41,K6&lt;Assumptions!$N$41),1/Assumptions!$N$41-Depreciation!$D$14,IF(L6&lt;Assumptions!$N$41,1/Assumptions!$N$41,0))</f>
        <v>0.05</v>
      </c>
      <c r="M14" s="273">
        <f>IF(AND(M6&gt;=Assumptions!$N$41,L6&lt;Assumptions!$N$41),1/Assumptions!$N$41-Depreciation!$D$14,IF(M6&lt;Assumptions!$N$41,1/Assumptions!$N$41,0))</f>
        <v>0.05</v>
      </c>
      <c r="N14" s="273">
        <f>IF(AND(N6&gt;=Assumptions!$N$41,M6&lt;Assumptions!$N$41),1/Assumptions!$N$41-Depreciation!$D$14,IF(N6&lt;Assumptions!$N$41,1/Assumptions!$N$41,0))</f>
        <v>0.05</v>
      </c>
      <c r="O14" s="273">
        <f>IF(AND(O6&gt;=Assumptions!$N$41,N6&lt;Assumptions!$N$41),1/Assumptions!$N$41-Depreciation!$D$14,IF(O6&lt;Assumptions!$N$41,1/Assumptions!$N$41,0))</f>
        <v>0.05</v>
      </c>
      <c r="P14" s="273">
        <f>IF(AND(P6&gt;=Assumptions!$N$41,O6&lt;Assumptions!$N$41),1/Assumptions!$N$41-Depreciation!$D$14,IF(P6&lt;Assumptions!$N$41,1/Assumptions!$N$41,0))</f>
        <v>0.05</v>
      </c>
      <c r="Q14" s="273">
        <f>IF(AND(Q6&gt;=Assumptions!$N$41,P6&lt;Assumptions!$N$41),1/Assumptions!$N$41-Depreciation!$D$14,IF(Q6&lt;Assumptions!$N$41,1/Assumptions!$N$41,0))</f>
        <v>0.05</v>
      </c>
      <c r="R14" s="273">
        <f>IF(AND(R6&gt;=Assumptions!$N$41,Q6&lt;Assumptions!$N$41),1/Assumptions!$N$41-Depreciation!$D$14,IF(R6&lt;Assumptions!$N$41,1/Assumptions!$N$41,0))</f>
        <v>0.05</v>
      </c>
      <c r="S14" s="273">
        <f>IF(AND(S6&gt;=Assumptions!$N$41,R6&lt;Assumptions!$N$41),1/Assumptions!$N$41-Depreciation!$D$14,IF(S6&lt;Assumptions!$N$41,1/Assumptions!$N$41,0))</f>
        <v>0.05</v>
      </c>
      <c r="T14" s="273">
        <f>IF(AND(T6&gt;=Assumptions!$N$41,S6&lt;Assumptions!$N$41),1/Assumptions!$N$41-Depreciation!$D$14,IF(T6&lt;Assumptions!$N$41,1/Assumptions!$N$41,0))</f>
        <v>0.05</v>
      </c>
      <c r="U14" s="273">
        <f>IF(AND(U6&gt;=Assumptions!$N$41,T6&lt;Assumptions!$N$41),1/Assumptions!$N$41-Depreciation!$D$14,IF(U6&lt;Assumptions!$N$41,1/Assumptions!$N$41,0))</f>
        <v>0.05</v>
      </c>
      <c r="V14" s="273">
        <f>IF(AND(V6&gt;=Assumptions!$N$41,U6&lt;Assumptions!$N$41),1/Assumptions!$N$41-Depreciation!$D$14,IF(V6&lt;Assumptions!$N$41,1/Assumptions!$N$41,0))</f>
        <v>0.05</v>
      </c>
      <c r="W14" s="273">
        <f>IF(AND(W6&gt;=Assumptions!$N$41,V6&lt;Assumptions!$N$41),1/Assumptions!$N$41-Depreciation!$D$14,IF(W6&lt;Assumptions!$N$41,1/Assumptions!$N$41,0))</f>
        <v>0.05</v>
      </c>
      <c r="X14" s="273">
        <f>IF(AND(X6&gt;=Assumptions!$N$41,W6&lt;Assumptions!$N$41),1/Assumptions!$N$41-Depreciation!$D$14,IF(X6&lt;Assumptions!$N$41,1/Assumptions!$N$41,0))</f>
        <v>1.666666666666667E-2</v>
      </c>
      <c r="Y14" s="273">
        <f>IF(AND(Y6&gt;=Assumptions!$N$41,X6&lt;Assumptions!$N$41),1/Assumptions!$N$41-Depreciation!$D$14,IF(Y6&lt;Assumptions!$N$41,1/Assumptions!$N$41,0))</f>
        <v>0</v>
      </c>
      <c r="Z14" s="273">
        <f>IF(AND(Z6&gt;=Assumptions!$N$41,Y6&lt;Assumptions!$N$41),1/Assumptions!$N$41-Depreciation!$D$14,IF(Z6&lt;Assumptions!$N$41,1/Assumptions!$N$41,0))</f>
        <v>0</v>
      </c>
      <c r="AA14" s="273">
        <f>IF(AND(AA6&gt;=Assumptions!$N$41,Z6&lt;Assumptions!$N$41),1/Assumptions!$N$41-Depreciation!$D$14,IF(AA6&lt;Assumptions!$N$41,1/Assumptions!$N$41,0))</f>
        <v>0</v>
      </c>
      <c r="AB14" s="273">
        <f>IF(AND(AB6&gt;=Assumptions!$N$41,AA6&lt;Assumptions!$N$41),1/Assumptions!$N$41-Depreciation!$D$14,IF(AB6&lt;Assumptions!$N$41,1/Assumptions!$N$41,0))</f>
        <v>0</v>
      </c>
      <c r="AC14" s="273">
        <f>IF(AND(AC6&gt;=Assumptions!$N$41,AB6&lt;Assumptions!$N$41),1/Assumptions!$N$41-Depreciation!$D$14,IF(AC6&lt;Assumptions!$N$41,1/Assumptions!$N$41,0))</f>
        <v>0</v>
      </c>
      <c r="AD14" s="273">
        <f>IF(AND(AD6&gt;=Assumptions!$N$41,AC6&lt;Assumptions!$N$41),1/Assumptions!$N$41-Depreciation!$D$14,IF(AD6&lt;Assumptions!$N$41,1/Assumptions!$N$41,0))</f>
        <v>0</v>
      </c>
      <c r="AE14" s="273">
        <f>IF(AND(AE6&gt;=Assumptions!$N$41,AD6&lt;Assumptions!$N$41),1/Assumptions!$N$41-Depreciation!$D$14,IF(AE6&lt;Assumptions!$N$41,1/Assumptions!$N$41,0))</f>
        <v>0</v>
      </c>
      <c r="AF14" s="273">
        <f>IF(AND(AF6&gt;=Assumptions!$N$41,AE6&lt;Assumptions!$N$41),1/Assumptions!$N$41-Depreciation!$D$14,IF(AF6&lt;Assumptions!$N$41,1/Assumptions!$N$41,0))</f>
        <v>0</v>
      </c>
      <c r="AG14" s="273">
        <f>IF(AND(AG6&gt;=Assumptions!$N$41,AF6&lt;Assumptions!$N$41),1/Assumptions!$N$41-Depreciation!$D$14,IF(AG6&lt;Assumptions!$N$41,1/Assumptions!$N$41,0))</f>
        <v>0</v>
      </c>
      <c r="AH14" s="27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240</v>
      </c>
      <c r="B16" s="368">
        <f>Assumptions!C35+Assumptions!C49+Assumptions!C41</f>
        <v>55293.375460452786</v>
      </c>
      <c r="C16" s="298"/>
      <c r="D16" s="18">
        <f>$B$16*D12</f>
        <v>2764.6687730226395</v>
      </c>
      <c r="E16" s="18">
        <f t="shared" ref="E16:Y16" si="0">$B$16*E12</f>
        <v>5252.8706687430149</v>
      </c>
      <c r="F16" s="18">
        <f t="shared" si="0"/>
        <v>4727.5836018687132</v>
      </c>
      <c r="G16" s="18">
        <f t="shared" si="0"/>
        <v>4257.5899104548644</v>
      </c>
      <c r="H16" s="18">
        <f t="shared" si="0"/>
        <v>3831.8309194093781</v>
      </c>
      <c r="I16" s="18">
        <f t="shared" si="0"/>
        <v>3444.7772911862085</v>
      </c>
      <c r="J16" s="18">
        <f t="shared" si="0"/>
        <v>3262.3091521667143</v>
      </c>
      <c r="K16" s="18">
        <f t="shared" si="0"/>
        <v>3267.8384897127598</v>
      </c>
      <c r="L16" s="18">
        <f t="shared" si="0"/>
        <v>3262.3091521667143</v>
      </c>
      <c r="M16" s="18">
        <f t="shared" si="0"/>
        <v>3267.8384897127598</v>
      </c>
      <c r="N16" s="18">
        <f t="shared" si="0"/>
        <v>3262.3091521667143</v>
      </c>
      <c r="O16" s="18">
        <f t="shared" si="0"/>
        <v>3267.8384897127598</v>
      </c>
      <c r="P16" s="18">
        <f t="shared" si="0"/>
        <v>3262.3091521667143</v>
      </c>
      <c r="Q16" s="18">
        <f t="shared" si="0"/>
        <v>3267.8384897127598</v>
      </c>
      <c r="R16" s="18">
        <f t="shared" si="0"/>
        <v>3262.3091521667143</v>
      </c>
      <c r="S16" s="18">
        <f t="shared" si="0"/>
        <v>1631.1545760833571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241</v>
      </c>
      <c r="B17" s="297">
        <f>Assumptions!C53-Assumptions!C49-Assumptions!C50</f>
        <v>2561.7423500000004</v>
      </c>
      <c r="C17" s="298"/>
      <c r="D17" s="295">
        <f>$B$17*D13</f>
        <v>341.56564666666674</v>
      </c>
      <c r="E17" s="295">
        <f t="shared" ref="E17:AH17" si="2">$B$17*E13</f>
        <v>512.34847000000013</v>
      </c>
      <c r="F17" s="295">
        <f t="shared" si="2"/>
        <v>512.34847000000013</v>
      </c>
      <c r="G17" s="295">
        <f t="shared" si="2"/>
        <v>512.34847000000013</v>
      </c>
      <c r="H17" s="295">
        <f t="shared" si="2"/>
        <v>512.34847000000013</v>
      </c>
      <c r="I17" s="295">
        <f t="shared" si="2"/>
        <v>170.7828233333334</v>
      </c>
      <c r="J17" s="295">
        <f t="shared" si="2"/>
        <v>0</v>
      </c>
      <c r="K17" s="295">
        <f t="shared" si="2"/>
        <v>0</v>
      </c>
      <c r="L17" s="295">
        <f t="shared" si="2"/>
        <v>0</v>
      </c>
      <c r="M17" s="295">
        <f t="shared" si="2"/>
        <v>0</v>
      </c>
      <c r="N17" s="295">
        <f t="shared" si="2"/>
        <v>0</v>
      </c>
      <c r="O17" s="295">
        <f t="shared" si="2"/>
        <v>0</v>
      </c>
      <c r="P17" s="295">
        <f t="shared" si="2"/>
        <v>0</v>
      </c>
      <c r="Q17" s="295">
        <f t="shared" si="2"/>
        <v>0</v>
      </c>
      <c r="R17" s="295">
        <f t="shared" si="2"/>
        <v>0</v>
      </c>
      <c r="S17" s="295">
        <f t="shared" si="2"/>
        <v>0</v>
      </c>
      <c r="T17" s="295">
        <f t="shared" si="2"/>
        <v>0</v>
      </c>
      <c r="U17" s="295">
        <f t="shared" si="2"/>
        <v>0</v>
      </c>
      <c r="V17" s="295">
        <f t="shared" si="2"/>
        <v>0</v>
      </c>
      <c r="W17" s="295">
        <f t="shared" si="2"/>
        <v>0</v>
      </c>
      <c r="X17" s="295">
        <f t="shared" si="2"/>
        <v>0</v>
      </c>
      <c r="Y17" s="295">
        <f t="shared" si="2"/>
        <v>0</v>
      </c>
      <c r="Z17" s="295">
        <f t="shared" si="2"/>
        <v>0</v>
      </c>
      <c r="AA17" s="295">
        <f t="shared" si="2"/>
        <v>0</v>
      </c>
      <c r="AB17" s="295">
        <f t="shared" si="2"/>
        <v>0</v>
      </c>
      <c r="AC17" s="295">
        <f t="shared" si="2"/>
        <v>0</v>
      </c>
      <c r="AD17" s="295">
        <f t="shared" si="2"/>
        <v>0</v>
      </c>
      <c r="AE17" s="295">
        <f t="shared" si="2"/>
        <v>0</v>
      </c>
      <c r="AF17" s="295">
        <f t="shared" si="2"/>
        <v>0</v>
      </c>
      <c r="AG17" s="295">
        <f t="shared" si="2"/>
        <v>0</v>
      </c>
      <c r="AH17" s="295">
        <f t="shared" si="2"/>
        <v>0</v>
      </c>
    </row>
    <row r="18" spans="1:36" s="10" customFormat="1" ht="15">
      <c r="A18" s="22" t="s">
        <v>306</v>
      </c>
      <c r="B18" s="369">
        <f>Assumptions!$C$59</f>
        <v>0</v>
      </c>
      <c r="C18" s="298"/>
      <c r="D18" s="370">
        <f>$B$18*D14</f>
        <v>0</v>
      </c>
      <c r="E18" s="370">
        <f t="shared" ref="E18:Y18" si="3">$B$18*E14</f>
        <v>0</v>
      </c>
      <c r="F18" s="370">
        <f t="shared" si="3"/>
        <v>0</v>
      </c>
      <c r="G18" s="370">
        <f t="shared" si="3"/>
        <v>0</v>
      </c>
      <c r="H18" s="370">
        <f t="shared" si="3"/>
        <v>0</v>
      </c>
      <c r="I18" s="370">
        <f t="shared" si="3"/>
        <v>0</v>
      </c>
      <c r="J18" s="370">
        <f t="shared" si="3"/>
        <v>0</v>
      </c>
      <c r="K18" s="370">
        <f t="shared" si="3"/>
        <v>0</v>
      </c>
      <c r="L18" s="370">
        <f t="shared" si="3"/>
        <v>0</v>
      </c>
      <c r="M18" s="370">
        <f t="shared" si="3"/>
        <v>0</v>
      </c>
      <c r="N18" s="370">
        <f t="shared" si="3"/>
        <v>0</v>
      </c>
      <c r="O18" s="370">
        <f t="shared" si="3"/>
        <v>0</v>
      </c>
      <c r="P18" s="370">
        <f t="shared" si="3"/>
        <v>0</v>
      </c>
      <c r="Q18" s="370">
        <f t="shared" si="3"/>
        <v>0</v>
      </c>
      <c r="R18" s="370">
        <f t="shared" si="3"/>
        <v>0</v>
      </c>
      <c r="S18" s="370">
        <f t="shared" si="3"/>
        <v>0</v>
      </c>
      <c r="T18" s="370">
        <f t="shared" si="3"/>
        <v>0</v>
      </c>
      <c r="U18" s="370">
        <f t="shared" si="3"/>
        <v>0</v>
      </c>
      <c r="V18" s="370">
        <f t="shared" si="3"/>
        <v>0</v>
      </c>
      <c r="W18" s="370">
        <f t="shared" si="3"/>
        <v>0</v>
      </c>
      <c r="X18" s="370">
        <f t="shared" si="3"/>
        <v>0</v>
      </c>
      <c r="Y18" s="370">
        <f t="shared" si="3"/>
        <v>0</v>
      </c>
      <c r="Z18" s="370">
        <f t="shared" ref="Z18:AH18" si="4">$B$18*Z14</f>
        <v>0</v>
      </c>
      <c r="AA18" s="370">
        <f t="shared" si="4"/>
        <v>0</v>
      </c>
      <c r="AB18" s="370">
        <f t="shared" si="4"/>
        <v>0</v>
      </c>
      <c r="AC18" s="370">
        <f t="shared" si="4"/>
        <v>0</v>
      </c>
      <c r="AD18" s="370">
        <f t="shared" si="4"/>
        <v>0</v>
      </c>
      <c r="AE18" s="370">
        <f t="shared" si="4"/>
        <v>0</v>
      </c>
      <c r="AF18" s="370">
        <f t="shared" si="4"/>
        <v>0</v>
      </c>
      <c r="AG18" s="370">
        <f t="shared" si="4"/>
        <v>0</v>
      </c>
      <c r="AH18" s="370">
        <f t="shared" si="4"/>
        <v>0</v>
      </c>
    </row>
    <row r="19" spans="1:36" s="10" customFormat="1">
      <c r="A19" s="22" t="s">
        <v>62</v>
      </c>
      <c r="B19" s="18">
        <f>SUM(B16:B18)</f>
        <v>57855.117810452786</v>
      </c>
      <c r="C19" s="298"/>
      <c r="D19" s="18">
        <f t="shared" ref="D19:Y19" si="5">SUM(D16:D18)</f>
        <v>3106.2344196893064</v>
      </c>
      <c r="E19" s="18">
        <f t="shared" si="5"/>
        <v>5765.2191387430148</v>
      </c>
      <c r="F19" s="18">
        <f t="shared" si="5"/>
        <v>5239.9320718687131</v>
      </c>
      <c r="G19" s="18">
        <f t="shared" si="5"/>
        <v>4769.9383804548643</v>
      </c>
      <c r="H19" s="18">
        <f t="shared" si="5"/>
        <v>4344.179389409378</v>
      </c>
      <c r="I19" s="18">
        <f t="shared" si="5"/>
        <v>3615.5601145195419</v>
      </c>
      <c r="J19" s="18">
        <f t="shared" si="5"/>
        <v>3262.3091521667143</v>
      </c>
      <c r="K19" s="18">
        <f t="shared" si="5"/>
        <v>3267.8384897127598</v>
      </c>
      <c r="L19" s="18">
        <f t="shared" si="5"/>
        <v>3262.3091521667143</v>
      </c>
      <c r="M19" s="18">
        <f t="shared" si="5"/>
        <v>3267.8384897127598</v>
      </c>
      <c r="N19" s="18">
        <f t="shared" si="5"/>
        <v>3262.3091521667143</v>
      </c>
      <c r="O19" s="18">
        <f t="shared" si="5"/>
        <v>3267.8384897127598</v>
      </c>
      <c r="P19" s="18">
        <f t="shared" si="5"/>
        <v>3262.3091521667143</v>
      </c>
      <c r="Q19" s="18">
        <f t="shared" si="5"/>
        <v>3267.8384897127598</v>
      </c>
      <c r="R19" s="18">
        <f t="shared" si="5"/>
        <v>3262.3091521667143</v>
      </c>
      <c r="S19" s="18">
        <f t="shared" si="5"/>
        <v>1631.1545760833571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299">
        <f>B19</f>
        <v>57855.117810452786</v>
      </c>
      <c r="C21" s="371"/>
      <c r="D21" s="299">
        <f>B19-D19</f>
        <v>54748.883390763483</v>
      </c>
      <c r="E21" s="299">
        <f>D21-E19</f>
        <v>48983.66425202047</v>
      </c>
      <c r="F21" s="299">
        <f t="shared" ref="F21:X21" si="7">E21-F19</f>
        <v>43743.732180151754</v>
      </c>
      <c r="G21" s="299">
        <f t="shared" si="7"/>
        <v>38973.79379969689</v>
      </c>
      <c r="H21" s="299">
        <f t="shared" si="7"/>
        <v>34629.614410287511</v>
      </c>
      <c r="I21" s="299">
        <f t="shared" si="7"/>
        <v>31014.054295767968</v>
      </c>
      <c r="J21" s="299">
        <f t="shared" si="7"/>
        <v>27751.745143601252</v>
      </c>
      <c r="K21" s="299">
        <f t="shared" si="7"/>
        <v>24483.906653888494</v>
      </c>
      <c r="L21" s="299">
        <f t="shared" si="7"/>
        <v>21221.597501721779</v>
      </c>
      <c r="M21" s="299">
        <f t="shared" si="7"/>
        <v>17953.759012009017</v>
      </c>
      <c r="N21" s="299">
        <f t="shared" si="7"/>
        <v>14691.449859842303</v>
      </c>
      <c r="O21" s="299">
        <f t="shared" si="7"/>
        <v>11423.611370129544</v>
      </c>
      <c r="P21" s="299">
        <f t="shared" si="7"/>
        <v>8161.3022179628297</v>
      </c>
      <c r="Q21" s="299">
        <f t="shared" si="7"/>
        <v>4893.4637282500698</v>
      </c>
      <c r="R21" s="299">
        <f t="shared" si="7"/>
        <v>1631.1545760833556</v>
      </c>
      <c r="S21" s="299">
        <f t="shared" si="7"/>
        <v>0</v>
      </c>
      <c r="T21" s="299">
        <f t="shared" si="7"/>
        <v>0</v>
      </c>
      <c r="U21" s="299">
        <f t="shared" si="7"/>
        <v>0</v>
      </c>
      <c r="V21" s="299">
        <f t="shared" si="7"/>
        <v>0</v>
      </c>
      <c r="W21" s="299">
        <f t="shared" si="7"/>
        <v>0</v>
      </c>
      <c r="X21" s="299">
        <f t="shared" si="7"/>
        <v>0</v>
      </c>
      <c r="Y21" s="299">
        <f>X21-Y19</f>
        <v>0</v>
      </c>
      <c r="Z21" s="299">
        <f t="shared" ref="Z21:AH21" si="8">Y21-Z19</f>
        <v>0</v>
      </c>
      <c r="AA21" s="299">
        <f t="shared" si="8"/>
        <v>0</v>
      </c>
      <c r="AB21" s="299">
        <f t="shared" si="8"/>
        <v>0</v>
      </c>
      <c r="AC21" s="299">
        <f t="shared" si="8"/>
        <v>0</v>
      </c>
      <c r="AD21" s="299">
        <f t="shared" si="8"/>
        <v>0</v>
      </c>
      <c r="AE21" s="299">
        <f t="shared" si="8"/>
        <v>0</v>
      </c>
      <c r="AF21" s="299">
        <f t="shared" si="8"/>
        <v>0</v>
      </c>
      <c r="AG21" s="299">
        <f t="shared" si="8"/>
        <v>0</v>
      </c>
      <c r="AH21" s="299">
        <f t="shared" si="8"/>
        <v>0</v>
      </c>
      <c r="AI21" s="296"/>
      <c r="AJ21" s="296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240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241</v>
      </c>
      <c r="B27" s="31">
        <f>Assumptions!$N$40</f>
        <v>5</v>
      </c>
      <c r="C27" s="32"/>
      <c r="D27" s="273">
        <f>D13</f>
        <v>0.13333333333333333</v>
      </c>
      <c r="E27" s="273">
        <f t="shared" ref="E27:AH27" si="11">E13</f>
        <v>0.2</v>
      </c>
      <c r="F27" s="273">
        <f t="shared" si="11"/>
        <v>0.2</v>
      </c>
      <c r="G27" s="273">
        <f t="shared" si="11"/>
        <v>0.2</v>
      </c>
      <c r="H27" s="273">
        <f t="shared" si="11"/>
        <v>0.2</v>
      </c>
      <c r="I27" s="273">
        <f t="shared" si="11"/>
        <v>6.666666666666668E-2</v>
      </c>
      <c r="J27" s="273">
        <f t="shared" si="11"/>
        <v>0</v>
      </c>
      <c r="K27" s="273">
        <f t="shared" si="11"/>
        <v>0</v>
      </c>
      <c r="L27" s="273">
        <f t="shared" si="11"/>
        <v>0</v>
      </c>
      <c r="M27" s="273">
        <f t="shared" si="11"/>
        <v>0</v>
      </c>
      <c r="N27" s="273">
        <f t="shared" si="11"/>
        <v>0</v>
      </c>
      <c r="O27" s="273">
        <f t="shared" si="11"/>
        <v>0</v>
      </c>
      <c r="P27" s="273">
        <f t="shared" si="11"/>
        <v>0</v>
      </c>
      <c r="Q27" s="273">
        <f t="shared" si="11"/>
        <v>0</v>
      </c>
      <c r="R27" s="273">
        <f t="shared" si="11"/>
        <v>0</v>
      </c>
      <c r="S27" s="273">
        <f t="shared" si="11"/>
        <v>0</v>
      </c>
      <c r="T27" s="273">
        <f t="shared" si="11"/>
        <v>0</v>
      </c>
      <c r="U27" s="273">
        <f t="shared" si="11"/>
        <v>0</v>
      </c>
      <c r="V27" s="273">
        <f t="shared" si="11"/>
        <v>0</v>
      </c>
      <c r="W27" s="273">
        <f t="shared" si="11"/>
        <v>0</v>
      </c>
      <c r="X27" s="273">
        <f t="shared" si="11"/>
        <v>0</v>
      </c>
      <c r="Y27" s="273">
        <f t="shared" si="11"/>
        <v>0</v>
      </c>
      <c r="Z27" s="273">
        <f t="shared" si="11"/>
        <v>0</v>
      </c>
      <c r="AA27" s="273">
        <f t="shared" si="11"/>
        <v>0</v>
      </c>
      <c r="AB27" s="273">
        <f t="shared" si="11"/>
        <v>0</v>
      </c>
      <c r="AC27" s="273">
        <f t="shared" si="11"/>
        <v>0</v>
      </c>
      <c r="AD27" s="273">
        <f t="shared" si="11"/>
        <v>0</v>
      </c>
      <c r="AE27" s="273">
        <f t="shared" si="11"/>
        <v>0</v>
      </c>
      <c r="AF27" s="273">
        <f t="shared" si="11"/>
        <v>0</v>
      </c>
      <c r="AG27" s="273">
        <f t="shared" si="11"/>
        <v>0</v>
      </c>
      <c r="AH27" s="273">
        <f t="shared" si="11"/>
        <v>0</v>
      </c>
    </row>
    <row r="28" spans="1:36" s="10" customFormat="1">
      <c r="A28" s="22" t="s">
        <v>306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240</v>
      </c>
      <c r="B31" s="368">
        <f>B16</f>
        <v>55293.375460452786</v>
      </c>
      <c r="C31" s="298"/>
      <c r="D31" s="18">
        <f>$B$31*D26</f>
        <v>2764.6687730226395</v>
      </c>
      <c r="E31" s="18">
        <f t="shared" ref="E31:Y31" si="14">$B$31*E26</f>
        <v>5252.8706687430149</v>
      </c>
      <c r="F31" s="18">
        <f t="shared" si="14"/>
        <v>4727.5836018687132</v>
      </c>
      <c r="G31" s="18">
        <f t="shared" si="14"/>
        <v>4257.5899104548644</v>
      </c>
      <c r="H31" s="18">
        <f t="shared" si="14"/>
        <v>3831.8309194093781</v>
      </c>
      <c r="I31" s="18">
        <f t="shared" si="14"/>
        <v>3444.7772911862085</v>
      </c>
      <c r="J31" s="18">
        <f t="shared" si="14"/>
        <v>3262.3091521667143</v>
      </c>
      <c r="K31" s="18">
        <f t="shared" si="14"/>
        <v>3267.8384897127598</v>
      </c>
      <c r="L31" s="18">
        <f t="shared" si="14"/>
        <v>3262.3091521667143</v>
      </c>
      <c r="M31" s="18">
        <f t="shared" si="14"/>
        <v>3267.8384897127598</v>
      </c>
      <c r="N31" s="18">
        <f t="shared" si="14"/>
        <v>3262.3091521667143</v>
      </c>
      <c r="O31" s="18">
        <f t="shared" si="14"/>
        <v>3267.8384897127598</v>
      </c>
      <c r="P31" s="18">
        <f t="shared" si="14"/>
        <v>3262.3091521667143</v>
      </c>
      <c r="Q31" s="18">
        <f t="shared" si="14"/>
        <v>3267.8384897127598</v>
      </c>
      <c r="R31" s="18">
        <f t="shared" si="14"/>
        <v>3262.3091521667143</v>
      </c>
      <c r="S31" s="18">
        <f t="shared" si="14"/>
        <v>1631.1545760833571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241</v>
      </c>
      <c r="B32" s="297">
        <f>B17</f>
        <v>2561.7423500000004</v>
      </c>
      <c r="C32" s="298"/>
      <c r="D32" s="295">
        <f>D27*$B$32</f>
        <v>341.56564666666674</v>
      </c>
      <c r="E32" s="295">
        <f t="shared" ref="E32:AH32" si="16">E27*$B$32</f>
        <v>512.34847000000013</v>
      </c>
      <c r="F32" s="295">
        <f t="shared" si="16"/>
        <v>512.34847000000013</v>
      </c>
      <c r="G32" s="295">
        <f t="shared" si="16"/>
        <v>512.34847000000013</v>
      </c>
      <c r="H32" s="295">
        <f t="shared" si="16"/>
        <v>512.34847000000013</v>
      </c>
      <c r="I32" s="295">
        <f t="shared" si="16"/>
        <v>170.7828233333334</v>
      </c>
      <c r="J32" s="295">
        <f t="shared" si="16"/>
        <v>0</v>
      </c>
      <c r="K32" s="295">
        <f t="shared" si="16"/>
        <v>0</v>
      </c>
      <c r="L32" s="295">
        <f t="shared" si="16"/>
        <v>0</v>
      </c>
      <c r="M32" s="295">
        <f t="shared" si="16"/>
        <v>0</v>
      </c>
      <c r="N32" s="295">
        <f t="shared" si="16"/>
        <v>0</v>
      </c>
      <c r="O32" s="295">
        <f t="shared" si="16"/>
        <v>0</v>
      </c>
      <c r="P32" s="295">
        <f t="shared" si="16"/>
        <v>0</v>
      </c>
      <c r="Q32" s="295">
        <f t="shared" si="16"/>
        <v>0</v>
      </c>
      <c r="R32" s="295">
        <f t="shared" si="16"/>
        <v>0</v>
      </c>
      <c r="S32" s="295">
        <f t="shared" si="16"/>
        <v>0</v>
      </c>
      <c r="T32" s="295">
        <f t="shared" si="16"/>
        <v>0</v>
      </c>
      <c r="U32" s="295">
        <f t="shared" si="16"/>
        <v>0</v>
      </c>
      <c r="V32" s="295">
        <f t="shared" si="16"/>
        <v>0</v>
      </c>
      <c r="W32" s="295">
        <f t="shared" si="16"/>
        <v>0</v>
      </c>
      <c r="X32" s="295">
        <f t="shared" si="16"/>
        <v>0</v>
      </c>
      <c r="Y32" s="295">
        <f t="shared" si="16"/>
        <v>0</v>
      </c>
      <c r="Z32" s="295">
        <f t="shared" si="16"/>
        <v>0</v>
      </c>
      <c r="AA32" s="295">
        <f t="shared" si="16"/>
        <v>0</v>
      </c>
      <c r="AB32" s="295">
        <f t="shared" si="16"/>
        <v>0</v>
      </c>
      <c r="AC32" s="295">
        <f t="shared" si="16"/>
        <v>0</v>
      </c>
      <c r="AD32" s="295">
        <f t="shared" si="16"/>
        <v>0</v>
      </c>
      <c r="AE32" s="295">
        <f t="shared" si="16"/>
        <v>0</v>
      </c>
      <c r="AF32" s="295">
        <f t="shared" si="16"/>
        <v>0</v>
      </c>
      <c r="AG32" s="295">
        <f t="shared" si="16"/>
        <v>0</v>
      </c>
      <c r="AH32" s="295">
        <f t="shared" si="16"/>
        <v>0</v>
      </c>
    </row>
    <row r="33" spans="1:38" s="10" customFormat="1" ht="15">
      <c r="A33" s="22" t="s">
        <v>306</v>
      </c>
      <c r="B33" s="369">
        <f>B18</f>
        <v>0</v>
      </c>
      <c r="C33" s="298"/>
      <c r="D33" s="370">
        <f t="shared" ref="D33:Y33" si="17">$B33*D28</f>
        <v>0</v>
      </c>
      <c r="E33" s="370">
        <f t="shared" si="17"/>
        <v>0</v>
      </c>
      <c r="F33" s="370">
        <f t="shared" si="17"/>
        <v>0</v>
      </c>
      <c r="G33" s="370">
        <f t="shared" si="17"/>
        <v>0</v>
      </c>
      <c r="H33" s="370">
        <f t="shared" si="17"/>
        <v>0</v>
      </c>
      <c r="I33" s="370">
        <f t="shared" si="17"/>
        <v>0</v>
      </c>
      <c r="J33" s="370">
        <f t="shared" si="17"/>
        <v>0</v>
      </c>
      <c r="K33" s="370">
        <f t="shared" si="17"/>
        <v>0</v>
      </c>
      <c r="L33" s="370">
        <f t="shared" si="17"/>
        <v>0</v>
      </c>
      <c r="M33" s="370">
        <f t="shared" si="17"/>
        <v>0</v>
      </c>
      <c r="N33" s="370">
        <f t="shared" si="17"/>
        <v>0</v>
      </c>
      <c r="O33" s="370">
        <f t="shared" si="17"/>
        <v>0</v>
      </c>
      <c r="P33" s="370">
        <f t="shared" si="17"/>
        <v>0</v>
      </c>
      <c r="Q33" s="370">
        <f t="shared" si="17"/>
        <v>0</v>
      </c>
      <c r="R33" s="370">
        <f t="shared" si="17"/>
        <v>0</v>
      </c>
      <c r="S33" s="370">
        <f t="shared" si="17"/>
        <v>0</v>
      </c>
      <c r="T33" s="370">
        <f t="shared" si="17"/>
        <v>0</v>
      </c>
      <c r="U33" s="370">
        <f t="shared" si="17"/>
        <v>0</v>
      </c>
      <c r="V33" s="370">
        <f t="shared" si="17"/>
        <v>0</v>
      </c>
      <c r="W33" s="370">
        <f t="shared" si="17"/>
        <v>0</v>
      </c>
      <c r="X33" s="370">
        <f t="shared" si="17"/>
        <v>0</v>
      </c>
      <c r="Y33" s="370">
        <f t="shared" si="17"/>
        <v>0</v>
      </c>
      <c r="Z33" s="370">
        <f t="shared" ref="Z33:AH33" si="18">$B33*Z28</f>
        <v>0</v>
      </c>
      <c r="AA33" s="370">
        <f t="shared" si="18"/>
        <v>0</v>
      </c>
      <c r="AB33" s="370">
        <f t="shared" si="18"/>
        <v>0</v>
      </c>
      <c r="AC33" s="370">
        <f t="shared" si="18"/>
        <v>0</v>
      </c>
      <c r="AD33" s="370">
        <f t="shared" si="18"/>
        <v>0</v>
      </c>
      <c r="AE33" s="370">
        <f t="shared" si="18"/>
        <v>0</v>
      </c>
      <c r="AF33" s="370">
        <f t="shared" si="18"/>
        <v>0</v>
      </c>
      <c r="AG33" s="370">
        <f t="shared" si="18"/>
        <v>0</v>
      </c>
      <c r="AH33" s="370">
        <f t="shared" si="18"/>
        <v>0</v>
      </c>
    </row>
    <row r="34" spans="1:38" s="10" customFormat="1">
      <c r="A34" s="16" t="s">
        <v>62</v>
      </c>
      <c r="B34" s="18">
        <f>SUM(B31:B33)</f>
        <v>57855.117810452786</v>
      </c>
      <c r="C34" s="298"/>
      <c r="D34" s="18">
        <f t="shared" ref="D34:Y34" si="19">SUM(D31:D33)</f>
        <v>3106.2344196893064</v>
      </c>
      <c r="E34" s="18">
        <f t="shared" si="19"/>
        <v>5765.2191387430148</v>
      </c>
      <c r="F34" s="18">
        <f t="shared" si="19"/>
        <v>5239.9320718687131</v>
      </c>
      <c r="G34" s="18">
        <f t="shared" si="19"/>
        <v>4769.9383804548643</v>
      </c>
      <c r="H34" s="18">
        <f t="shared" si="19"/>
        <v>4344.179389409378</v>
      </c>
      <c r="I34" s="18">
        <f t="shared" si="19"/>
        <v>3615.5601145195419</v>
      </c>
      <c r="J34" s="18">
        <f t="shared" si="19"/>
        <v>3262.3091521667143</v>
      </c>
      <c r="K34" s="18">
        <f t="shared" si="19"/>
        <v>3267.8384897127598</v>
      </c>
      <c r="L34" s="18">
        <f t="shared" si="19"/>
        <v>3262.3091521667143</v>
      </c>
      <c r="M34" s="18">
        <f t="shared" si="19"/>
        <v>3267.8384897127598</v>
      </c>
      <c r="N34" s="18">
        <f t="shared" si="19"/>
        <v>3262.3091521667143</v>
      </c>
      <c r="O34" s="18">
        <f t="shared" si="19"/>
        <v>3267.8384897127598</v>
      </c>
      <c r="P34" s="18">
        <f t="shared" si="19"/>
        <v>3262.3091521667143</v>
      </c>
      <c r="Q34" s="18">
        <f t="shared" si="19"/>
        <v>3267.8384897127598</v>
      </c>
      <c r="R34" s="18">
        <f t="shared" si="19"/>
        <v>3262.3091521667143</v>
      </c>
      <c r="S34" s="18">
        <f t="shared" si="19"/>
        <v>1631.1545760833571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2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299">
        <f>B34</f>
        <v>57855.117810452786</v>
      </c>
      <c r="C36" s="373"/>
      <c r="D36" s="299">
        <f>B34-D34</f>
        <v>54748.883390763483</v>
      </c>
      <c r="E36" s="299">
        <f>D36-E34</f>
        <v>48983.66425202047</v>
      </c>
      <c r="F36" s="299">
        <f t="shared" ref="F36:W36" si="21">E36-F34</f>
        <v>43743.732180151754</v>
      </c>
      <c r="G36" s="299">
        <f t="shared" si="21"/>
        <v>38973.79379969689</v>
      </c>
      <c r="H36" s="299">
        <f t="shared" si="21"/>
        <v>34629.614410287511</v>
      </c>
      <c r="I36" s="299">
        <f t="shared" si="21"/>
        <v>31014.054295767968</v>
      </c>
      <c r="J36" s="299">
        <f t="shared" si="21"/>
        <v>27751.745143601252</v>
      </c>
      <c r="K36" s="299">
        <f t="shared" si="21"/>
        <v>24483.906653888494</v>
      </c>
      <c r="L36" s="299">
        <f t="shared" si="21"/>
        <v>21221.597501721779</v>
      </c>
      <c r="M36" s="299">
        <f t="shared" si="21"/>
        <v>17953.759012009017</v>
      </c>
      <c r="N36" s="299">
        <f t="shared" si="21"/>
        <v>14691.449859842303</v>
      </c>
      <c r="O36" s="299">
        <f t="shared" si="21"/>
        <v>11423.611370129544</v>
      </c>
      <c r="P36" s="299">
        <f t="shared" si="21"/>
        <v>8161.3022179628297</v>
      </c>
      <c r="Q36" s="299">
        <f t="shared" si="21"/>
        <v>4893.4637282500698</v>
      </c>
      <c r="R36" s="299">
        <f t="shared" si="21"/>
        <v>1631.1545760833556</v>
      </c>
      <c r="S36" s="299">
        <f t="shared" si="21"/>
        <v>0</v>
      </c>
      <c r="T36" s="299">
        <f t="shared" si="21"/>
        <v>0</v>
      </c>
      <c r="U36" s="299">
        <f t="shared" si="21"/>
        <v>0</v>
      </c>
      <c r="V36" s="299">
        <f t="shared" si="21"/>
        <v>0</v>
      </c>
      <c r="W36" s="299">
        <f t="shared" si="21"/>
        <v>0</v>
      </c>
      <c r="X36" s="299">
        <f>W36-X34</f>
        <v>0</v>
      </c>
      <c r="Y36" s="299">
        <f>X36-Y34</f>
        <v>0</v>
      </c>
      <c r="Z36" s="299">
        <f t="shared" ref="Z36:AH36" si="22">Y36-Z34</f>
        <v>0</v>
      </c>
      <c r="AA36" s="299">
        <f t="shared" si="22"/>
        <v>0</v>
      </c>
      <c r="AB36" s="299">
        <f t="shared" si="22"/>
        <v>0</v>
      </c>
      <c r="AC36" s="299">
        <f t="shared" si="22"/>
        <v>0</v>
      </c>
      <c r="AD36" s="299">
        <f t="shared" si="22"/>
        <v>0</v>
      </c>
      <c r="AE36" s="299">
        <f t="shared" si="22"/>
        <v>0</v>
      </c>
      <c r="AF36" s="299">
        <f t="shared" si="22"/>
        <v>0</v>
      </c>
      <c r="AG36" s="299">
        <f t="shared" si="22"/>
        <v>0</v>
      </c>
      <c r="AH36" s="299">
        <f t="shared" si="22"/>
        <v>0</v>
      </c>
      <c r="AI36" s="296"/>
      <c r="AJ36" s="296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6" t="s">
        <v>66</v>
      </c>
    </row>
    <row r="41" spans="1:38" s="10" customFormat="1">
      <c r="A41" s="21" t="s">
        <v>360</v>
      </c>
      <c r="B41" s="31">
        <f>Assumptions!$N$44</f>
        <v>30</v>
      </c>
      <c r="C41" s="367">
        <f>Assumptions!P44</f>
        <v>0.1</v>
      </c>
      <c r="D41" s="273">
        <f>1/Assumptions!$N$44*D6*(1-$C$41)</f>
        <v>1.9999999999999997E-2</v>
      </c>
      <c r="E41" s="273">
        <f>IF(AND(E6&gt;=Assumptions!$N$44,D6&lt;Assumptions!$N$44),1/Assumptions!$N$44*(1-$C$41)-Depreciation!$D$41,IF(AND(D6&gt;Assumptions!$N$44,E6&lt;Assumptions!$N$44),0,1/Assumptions!$N$44*(1-$C$41)))</f>
        <v>0.03</v>
      </c>
      <c r="F41" s="273">
        <f>IF(AND(F6&gt;=Assumptions!$N$44,E6&lt;Assumptions!$N$44),1/Assumptions!$N$44*(1-$C$41)-Depreciation!$D$41,IF(AND(E6&gt;Assumptions!$N$44,F6&lt;Assumptions!$N$44),0,1/Assumptions!$N$44*(1-$C$41)))</f>
        <v>0.03</v>
      </c>
      <c r="G41" s="273">
        <f>IF(AND(G6&gt;=Assumptions!$N$44,F6&lt;Assumptions!$N$44),1/Assumptions!$N$44*(1-$C$41)-Depreciation!$D$41,IF(AND(F6&gt;Assumptions!$N$44,G6&lt;Assumptions!$N$44),0,1/Assumptions!$N$44*(1-$C$41)))</f>
        <v>0.03</v>
      </c>
      <c r="H41" s="273">
        <f>IF(AND(H6&gt;=Assumptions!$N$44,G6&lt;Assumptions!$N$44),1/Assumptions!$N$44*(1-$C$41)-Depreciation!$D$41,IF(AND(G6&gt;Assumptions!$N$44,H6&lt;Assumptions!$N$44),0,1/Assumptions!$N$44*(1-$C$41)))</f>
        <v>0.03</v>
      </c>
      <c r="I41" s="273">
        <f>IF(AND(I6&gt;=Assumptions!$N$44,H6&lt;Assumptions!$N$44),1/Assumptions!$N$44*(1-$C$41)-Depreciation!$D$41,IF(AND(H6&gt;Assumptions!$N$44,I6&lt;Assumptions!$N$44),0,1/Assumptions!$N$44*(1-$C$41)))</f>
        <v>0.03</v>
      </c>
      <c r="J41" s="273">
        <f>IF(AND(J6&gt;=Assumptions!$N$44,I6&lt;Assumptions!$N$44),1/Assumptions!$N$44*(1-$C$41)-Depreciation!$D$41,IF(AND(I6&gt;Assumptions!$N$44,J6&lt;Assumptions!$N$44),0,1/Assumptions!$N$44*(1-$C$41)))</f>
        <v>0.03</v>
      </c>
      <c r="K41" s="273">
        <f>IF(AND(K6&gt;=Assumptions!$N$44,J6&lt;Assumptions!$N$44),1/Assumptions!$N$44*(1-$C$41)-Depreciation!$D$41,IF(AND(J6&gt;Assumptions!$N$44,K6&lt;Assumptions!$N$44),0,1/Assumptions!$N$44*(1-$C$41)))</f>
        <v>0.03</v>
      </c>
      <c r="L41" s="273">
        <f>IF(AND(L6&gt;=Assumptions!$N$44,K6&lt;Assumptions!$N$44),1/Assumptions!$N$44*(1-$C$41)-Depreciation!$D$41,IF(AND(K6&gt;Assumptions!$N$44,L6&lt;Assumptions!$N$44),0,1/Assumptions!$N$44*(1-$C$41)))</f>
        <v>0.03</v>
      </c>
      <c r="M41" s="273">
        <f>IF(AND(M6&gt;=Assumptions!$N$44,L6&lt;Assumptions!$N$44),1/Assumptions!$N$44*(1-$C$41)-Depreciation!$D$41,IF(AND(L6&gt;Assumptions!$N$44,M6&lt;Assumptions!$N$44),0,1/Assumptions!$N$44*(1-$C$41)))</f>
        <v>0.03</v>
      </c>
      <c r="N41" s="273">
        <f>IF(AND(N6&gt;=Assumptions!$N$44,M6&lt;Assumptions!$N$44),1/Assumptions!$N$44*(1-$C$41)-Depreciation!$D$41,IF(AND(M6&gt;Assumptions!$N$44,N6&lt;Assumptions!$N$44),0,1/Assumptions!$N$44*(1-$C$41)))</f>
        <v>0.03</v>
      </c>
      <c r="O41" s="273">
        <f>IF(AND(O6&gt;=Assumptions!$N$44,N6&lt;Assumptions!$N$44),1/Assumptions!$N$44*(1-$C$41)-Depreciation!$D$41,IF(AND(N6&gt;Assumptions!$N$44,O6&lt;Assumptions!$N$44),0,1/Assumptions!$N$44*(1-$C$41)))</f>
        <v>0.03</v>
      </c>
      <c r="P41" s="273">
        <f>IF(AND(P6&gt;=Assumptions!$N$44,O6&lt;Assumptions!$N$44),1/Assumptions!$N$44*(1-$C$41)-Depreciation!$D$41,IF(AND(O6&gt;Assumptions!$N$44,P6&lt;Assumptions!$N$44),0,1/Assumptions!$N$44*(1-$C$41)))</f>
        <v>0.03</v>
      </c>
      <c r="Q41" s="273">
        <f>IF(AND(Q6&gt;=Assumptions!$N$44,P6&lt;Assumptions!$N$44),1/Assumptions!$N$44*(1-$C$41)-Depreciation!$D$41,IF(AND(P6&gt;Assumptions!$N$44,Q6&lt;Assumptions!$N$44),0,1/Assumptions!$N$44*(1-$C$41)))</f>
        <v>0.03</v>
      </c>
      <c r="R41" s="273">
        <f>IF(AND(R6&gt;=Assumptions!$N$44,Q6&lt;Assumptions!$N$44),1/Assumptions!$N$44*(1-$C$41)-Depreciation!$D$41,IF(AND(Q6&gt;Assumptions!$N$44,R6&lt;Assumptions!$N$44),0,1/Assumptions!$N$44*(1-$C$41)))</f>
        <v>0.03</v>
      </c>
      <c r="S41" s="273">
        <f>IF(AND(S6&gt;=Assumptions!$N$44,R6&lt;Assumptions!$N$44),1/Assumptions!$N$44*(1-$C$41)-Depreciation!$D$41,IF(AND(R6&gt;Assumptions!$N$44,S6&lt;Assumptions!$N$44),0,1/Assumptions!$N$44*(1-$C$41)))</f>
        <v>0.03</v>
      </c>
      <c r="T41" s="273">
        <f>IF(AND(T6&gt;=Assumptions!$N$44,S6&lt;Assumptions!$N$44),1/Assumptions!$N$44*(1-$C$41)-Depreciation!$D$41,IF(AND(S6&gt;Assumptions!$N$44,T6&lt;Assumptions!$N$44),0,1/Assumptions!$N$44*(1-$C$41)))</f>
        <v>0.03</v>
      </c>
      <c r="U41" s="273">
        <f>IF(AND(U6&gt;=Assumptions!$N$44,T6&lt;Assumptions!$N$44),1/Assumptions!$N$44*(1-$C$41)-Depreciation!$D$41,IF(AND(T6&gt;Assumptions!$N$44,U6&lt;Assumptions!$N$44),0,1/Assumptions!$N$44*(1-$C$41)))</f>
        <v>0.03</v>
      </c>
      <c r="V41" s="273">
        <f>IF(AND(V6&gt;=Assumptions!$N$44,U6&lt;Assumptions!$N$44),1/Assumptions!$N$44*(1-$C$41)-Depreciation!$D$41,IF(AND(U6&gt;Assumptions!$N$44,V6&lt;Assumptions!$N$44),0,1/Assumptions!$N$44*(1-$C$41)))</f>
        <v>0.03</v>
      </c>
      <c r="W41" s="273">
        <f>IF(AND(W6&gt;=Assumptions!$N$44,V6&lt;Assumptions!$N$44),1/Assumptions!$N$44*(1-$C$41)-Depreciation!$D$41,IF(AND(V6&gt;Assumptions!$N$44,W6&lt;Assumptions!$N$44),0,1/Assumptions!$N$44*(1-$C$41)))</f>
        <v>0.03</v>
      </c>
      <c r="X41" s="273">
        <f>IF(AND(X6&gt;=Assumptions!$N$44,W6&lt;Assumptions!$N$44),1/Assumptions!$N$44*(1-$C$41)-Depreciation!$D$41,IF(AND(W6&gt;Assumptions!$N$44,X6&lt;Assumptions!$N$44),0,1/Assumptions!$N$44*(1-$C$41)))</f>
        <v>0.03</v>
      </c>
      <c r="Y41" s="273">
        <f>IF(AND(Y6&gt;=Assumptions!$N$44,X6&lt;Assumptions!$N$44),1/Assumptions!$N$44*(1-$C$41)-Depreciation!$D$41,IF(AND(X6&gt;Assumptions!$N$44,Y6&lt;Assumptions!$N$44),0,1/Assumptions!$N$44*(1-$C$41)))</f>
        <v>0.03</v>
      </c>
      <c r="Z41" s="273">
        <f>IF(AND(Z6&gt;=Assumptions!$N$44,Y6&lt;Assumptions!$N$44),1/Assumptions!$N$44*(1-$C$41)-Depreciation!$D$41,IF(AND(Y6&gt;Assumptions!$N$44,Z6&lt;Assumptions!$N$44),0,1/Assumptions!$N$44*(1-$C$41)))</f>
        <v>0.03</v>
      </c>
      <c r="AA41" s="273">
        <f>IF(AND(AA6&gt;=Assumptions!$N$44,Z6&lt;Assumptions!$N$44),1/Assumptions!$N$44*(1-$C$41)-Depreciation!$D$41,IF(AND(Z6&gt;Assumptions!$N$44,AA6&lt;Assumptions!$N$44),0,1/Assumptions!$N$44*(1-$C$41)))</f>
        <v>0.03</v>
      </c>
      <c r="AB41" s="273">
        <f>IF(AND(AB6&gt;=Assumptions!$N$44,AA6&lt;Assumptions!$N$44),1/Assumptions!$N$44*(1-$C$41)-Depreciation!$D$41,IF(AND(AA6&gt;Assumptions!$N$44,AB6&lt;Assumptions!$N$44),0,1/Assumptions!$N$44*(1-$C$41)))</f>
        <v>0.03</v>
      </c>
      <c r="AC41" s="273">
        <f>IF(AND(AC6&gt;=Assumptions!$N$44,AB6&lt;Assumptions!$N$44),1/Assumptions!$N$44*(1-$C$41)-Depreciation!$D$41,IF(AND(AB6&gt;Assumptions!$N$44,AC6&lt;Assumptions!$N$44),0,1/Assumptions!$N$44*(1-$C$41)))</f>
        <v>0.03</v>
      </c>
      <c r="AD41" s="273">
        <f>IF(AND(AD6&gt;=Assumptions!$N$44,AC6&lt;Assumptions!$N$44),1/Assumptions!$N$44*(1-$C$41)-Depreciation!$D$41,IF(AND(AC6&gt;Assumptions!$N$44,AD6&lt;Assumptions!$N$44),0,1/Assumptions!$N$44*(1-$C$41)))</f>
        <v>0.03</v>
      </c>
      <c r="AE41" s="273">
        <f>IF(AND(AE6&gt;=Assumptions!$N$44,AD6&lt;Assumptions!$N$44),1/Assumptions!$N$44*(1-$C$41)-Depreciation!$D$41,IF(AND(AD6&gt;Assumptions!$N$44,AE6&lt;Assumptions!$N$44),0,1/Assumptions!$N$44*(1-$C$41)))</f>
        <v>0.03</v>
      </c>
      <c r="AF41" s="273">
        <f>IF(AND(AF6&gt;=Assumptions!$N$44,AE6&lt;Assumptions!$N$44),1/Assumptions!$N$44*(1-$C$41)-Depreciation!$D$41,IF(AND(AE6&gt;Assumptions!$N$44,AF6&lt;Assumptions!$N$44),0,1/Assumptions!$N$44*(1-$C$41)))</f>
        <v>0.03</v>
      </c>
      <c r="AG41" s="273">
        <f>IF(AND(AG6&gt;=Assumptions!$N$44,AF6&lt;Assumptions!$N$44),1/Assumptions!$N$44*(1-$C$41)-Depreciation!$D$41,IF(AND(AF6&gt;Assumptions!$N$44,AG6&lt;Assumptions!$N$44),0,1/Assumptions!$N$44*(1-$C$41)))</f>
        <v>0.03</v>
      </c>
      <c r="AH41" s="273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241</v>
      </c>
      <c r="B42" s="31">
        <f>Assumptions!$N$40</f>
        <v>5</v>
      </c>
      <c r="C42" s="32"/>
      <c r="D42" s="273">
        <f>D13</f>
        <v>0.13333333333333333</v>
      </c>
      <c r="E42" s="273">
        <f t="shared" ref="E42:AH42" si="23">E13</f>
        <v>0.2</v>
      </c>
      <c r="F42" s="273">
        <f t="shared" si="23"/>
        <v>0.2</v>
      </c>
      <c r="G42" s="273">
        <f t="shared" si="23"/>
        <v>0.2</v>
      </c>
      <c r="H42" s="273">
        <f t="shared" si="23"/>
        <v>0.2</v>
      </c>
      <c r="I42" s="273">
        <f t="shared" si="23"/>
        <v>6.666666666666668E-2</v>
      </c>
      <c r="J42" s="273">
        <f t="shared" si="23"/>
        <v>0</v>
      </c>
      <c r="K42" s="273">
        <f t="shared" si="23"/>
        <v>0</v>
      </c>
      <c r="L42" s="273">
        <f t="shared" si="23"/>
        <v>0</v>
      </c>
      <c r="M42" s="273">
        <f t="shared" si="23"/>
        <v>0</v>
      </c>
      <c r="N42" s="273">
        <f t="shared" si="23"/>
        <v>0</v>
      </c>
      <c r="O42" s="273">
        <f t="shared" si="23"/>
        <v>0</v>
      </c>
      <c r="P42" s="273">
        <f t="shared" si="23"/>
        <v>0</v>
      </c>
      <c r="Q42" s="273">
        <f t="shared" si="23"/>
        <v>0</v>
      </c>
      <c r="R42" s="273">
        <f t="shared" si="23"/>
        <v>0</v>
      </c>
      <c r="S42" s="273">
        <f t="shared" si="23"/>
        <v>0</v>
      </c>
      <c r="T42" s="273">
        <f t="shared" si="23"/>
        <v>0</v>
      </c>
      <c r="U42" s="273">
        <f t="shared" si="23"/>
        <v>0</v>
      </c>
      <c r="V42" s="273">
        <f t="shared" si="23"/>
        <v>0</v>
      </c>
      <c r="W42" s="273">
        <f t="shared" si="23"/>
        <v>0</v>
      </c>
      <c r="X42" s="273">
        <f t="shared" si="23"/>
        <v>0</v>
      </c>
      <c r="Y42" s="273">
        <f t="shared" si="23"/>
        <v>0</v>
      </c>
      <c r="Z42" s="273">
        <f t="shared" si="23"/>
        <v>0</v>
      </c>
      <c r="AA42" s="273">
        <f t="shared" si="23"/>
        <v>0</v>
      </c>
      <c r="AB42" s="273">
        <f t="shared" si="23"/>
        <v>0</v>
      </c>
      <c r="AC42" s="273">
        <f t="shared" si="23"/>
        <v>0</v>
      </c>
      <c r="AD42" s="273">
        <f t="shared" si="23"/>
        <v>0</v>
      </c>
      <c r="AE42" s="273">
        <f t="shared" si="23"/>
        <v>0</v>
      </c>
      <c r="AF42" s="273">
        <f t="shared" si="23"/>
        <v>0</v>
      </c>
      <c r="AG42" s="273">
        <f t="shared" si="23"/>
        <v>0</v>
      </c>
      <c r="AH42" s="273">
        <f t="shared" si="23"/>
        <v>0</v>
      </c>
    </row>
    <row r="43" spans="1:38" s="10" customFormat="1">
      <c r="A43" s="22" t="s">
        <v>306</v>
      </c>
      <c r="B43" s="34">
        <f>Assumptions!$N$46</f>
        <v>20</v>
      </c>
      <c r="C43" s="24"/>
      <c r="D43" s="273">
        <f>1/Assumptions!$N$46*D6</f>
        <v>3.3333333333333333E-2</v>
      </c>
      <c r="E43" s="273">
        <f>IF(AND(E6&gt;=Assumptions!$N$46, D6&lt;Assumptions!$N$46),1/Assumptions!$N$46-Depreciation!$D$43,IF(E6&lt;Assumptions!$N$46,1/Assumptions!$N$46,0))</f>
        <v>0.05</v>
      </c>
      <c r="F43" s="273">
        <f>IF(AND(F6&gt;=Assumptions!$N$46, E6&lt;Assumptions!$N$46),1/Assumptions!$N$46-Depreciation!$D$43,IF(F6&lt;Assumptions!$N$46,1/Assumptions!$N$46,0))</f>
        <v>0.05</v>
      </c>
      <c r="G43" s="273">
        <f>IF(AND(G6&gt;=Assumptions!$N$46, F6&lt;Assumptions!$N$46),1/Assumptions!$N$46-Depreciation!$D$43,IF(G6&lt;Assumptions!$N$46,1/Assumptions!$N$46,0))</f>
        <v>0.05</v>
      </c>
      <c r="H43" s="273">
        <f>IF(AND(H6&gt;=Assumptions!$N$46, G6&lt;Assumptions!$N$46),1/Assumptions!$N$46-Depreciation!$D$43,IF(H6&lt;Assumptions!$N$46,1/Assumptions!$N$46,0))</f>
        <v>0.05</v>
      </c>
      <c r="I43" s="273">
        <f>IF(AND(I6&gt;=Assumptions!$N$46, H6&lt;Assumptions!$N$46),1/Assumptions!$N$46-Depreciation!$D$43,IF(I6&lt;Assumptions!$N$46,1/Assumptions!$N$46,0))</f>
        <v>0.05</v>
      </c>
      <c r="J43" s="273">
        <f>IF(AND(J6&gt;=Assumptions!$N$46, I6&lt;Assumptions!$N$46),1/Assumptions!$N$46-Depreciation!$D$43,IF(J6&lt;Assumptions!$N$46,1/Assumptions!$N$46,0))</f>
        <v>0.05</v>
      </c>
      <c r="K43" s="273">
        <f>IF(AND(K6&gt;=Assumptions!$N$46, J6&lt;Assumptions!$N$46),1/Assumptions!$N$46-Depreciation!$D$43,IF(K6&lt;Assumptions!$N$46,1/Assumptions!$N$46,0))</f>
        <v>0.05</v>
      </c>
      <c r="L43" s="273">
        <f>IF(AND(L6&gt;=Assumptions!$N$46, K6&lt;Assumptions!$N$46),1/Assumptions!$N$46-Depreciation!$D$43,IF(L6&lt;Assumptions!$N$46,1/Assumptions!$N$46,0))</f>
        <v>0.05</v>
      </c>
      <c r="M43" s="273">
        <f>IF(AND(M6&gt;=Assumptions!$N$46, L6&lt;Assumptions!$N$46),1/Assumptions!$N$46-Depreciation!$D$43,IF(M6&lt;Assumptions!$N$46,1/Assumptions!$N$46,0))</f>
        <v>0.05</v>
      </c>
      <c r="N43" s="273">
        <f>IF(AND(N6&gt;=Assumptions!$N$46, M6&lt;Assumptions!$N$46),1/Assumptions!$N$46-Depreciation!$D$43,IF(N6&lt;Assumptions!$N$46,1/Assumptions!$N$46,0))</f>
        <v>0.05</v>
      </c>
      <c r="O43" s="273">
        <f>IF(AND(O6&gt;=Assumptions!$N$46, N6&lt;Assumptions!$N$46),1/Assumptions!$N$46-Depreciation!$D$43,IF(O6&lt;Assumptions!$N$46,1/Assumptions!$N$46,0))</f>
        <v>0.05</v>
      </c>
      <c r="P43" s="273">
        <f>IF(AND(P6&gt;=Assumptions!$N$46, O6&lt;Assumptions!$N$46),1/Assumptions!$N$46-Depreciation!$D$43,IF(P6&lt;Assumptions!$N$46,1/Assumptions!$N$46,0))</f>
        <v>0.05</v>
      </c>
      <c r="Q43" s="273">
        <f>IF(AND(Q6&gt;=Assumptions!$N$46, P6&lt;Assumptions!$N$46),1/Assumptions!$N$46-Depreciation!$D$43,IF(Q6&lt;Assumptions!$N$46,1/Assumptions!$N$46,0))</f>
        <v>0.05</v>
      </c>
      <c r="R43" s="273">
        <f>IF(AND(R6&gt;=Assumptions!$N$46, Q6&lt;Assumptions!$N$46),1/Assumptions!$N$46-Depreciation!$D$43,IF(R6&lt;Assumptions!$N$46,1/Assumptions!$N$46,0))</f>
        <v>0.05</v>
      </c>
      <c r="S43" s="273">
        <f>IF(AND(S6&gt;=Assumptions!$N$46, R6&lt;Assumptions!$N$46),1/Assumptions!$N$46-Depreciation!$D$43,IF(S6&lt;Assumptions!$N$46,1/Assumptions!$N$46,0))</f>
        <v>0.05</v>
      </c>
      <c r="T43" s="273">
        <f>IF(AND(T6&gt;=Assumptions!$N$46, S6&lt;Assumptions!$N$46),1/Assumptions!$N$46-Depreciation!$D$43,IF(T6&lt;Assumptions!$N$46,1/Assumptions!$N$46,0))</f>
        <v>0.05</v>
      </c>
      <c r="U43" s="273">
        <f>IF(AND(U6&gt;=Assumptions!$N$46, T6&lt;Assumptions!$N$46),1/Assumptions!$N$46-Depreciation!$D$43,IF(U6&lt;Assumptions!$N$46,1/Assumptions!$N$46,0))</f>
        <v>0.05</v>
      </c>
      <c r="V43" s="273">
        <f>IF(AND(V6&gt;=Assumptions!$N$46, U6&lt;Assumptions!$N$46),1/Assumptions!$N$46-Depreciation!$D$43,IF(V6&lt;Assumptions!$N$46,1/Assumptions!$N$46,0))</f>
        <v>0.05</v>
      </c>
      <c r="W43" s="273">
        <f>IF(AND(W6&gt;=Assumptions!$N$46, V6&lt;Assumptions!$N$46),1/Assumptions!$N$46-Depreciation!$D$43,IF(W6&lt;Assumptions!$N$46,1/Assumptions!$N$46,0))</f>
        <v>0.05</v>
      </c>
      <c r="X43" s="273">
        <f>IF(AND(X6&gt;=Assumptions!$N$46, W6&lt;Assumptions!$N$46),1/Assumptions!$N$46-Depreciation!$D$43,IF(X6&lt;Assumptions!$N$46,1/Assumptions!$N$46,0))</f>
        <v>1.666666666666667E-2</v>
      </c>
      <c r="Y43" s="273">
        <f>IF(AND(Y6&gt;=Assumptions!$N$46, X6&lt;Assumptions!$N$46),1/Assumptions!$N$46-Depreciation!$D$43,IF(Y6&lt;Assumptions!$N$46,1/Assumptions!$N$46,0))</f>
        <v>0</v>
      </c>
      <c r="Z43" s="273">
        <f>IF(AND(Z6&gt;=Assumptions!$N$46, Y6&lt;Assumptions!$N$46),1/Assumptions!$N$46-Depreciation!$D$43,IF(Z6&lt;Assumptions!$N$46,1/Assumptions!$N$46,0))</f>
        <v>0</v>
      </c>
      <c r="AA43" s="273">
        <f>IF(AND(AA6&gt;=Assumptions!$N$46, Z6&lt;Assumptions!$N$46),1/Assumptions!$N$46-Depreciation!$D$43,IF(AA6&lt;Assumptions!$N$46,1/Assumptions!$N$46,0))</f>
        <v>0</v>
      </c>
      <c r="AB43" s="273">
        <f>IF(AND(AB6&gt;=Assumptions!$N$46, AA6&lt;Assumptions!$N$46),1/Assumptions!$N$46-Depreciation!$D$43,IF(AB6&lt;Assumptions!$N$46,1/Assumptions!$N$46,0))</f>
        <v>0</v>
      </c>
      <c r="AC43" s="273">
        <f>IF(AND(AC6&gt;=Assumptions!$N$46, AB6&lt;Assumptions!$N$46),1/Assumptions!$N$46-Depreciation!$D$43,IF(AC6&lt;Assumptions!$N$46,1/Assumptions!$N$46,0))</f>
        <v>0</v>
      </c>
      <c r="AD43" s="273">
        <f>IF(AND(AD6&gt;=Assumptions!$N$46, AC6&lt;Assumptions!$N$46),1/Assumptions!$N$46-Depreciation!$D$43,IF(AD6&lt;Assumptions!$N$46,1/Assumptions!$N$46,0))</f>
        <v>0</v>
      </c>
      <c r="AE43" s="273">
        <f>IF(AND(AE6&gt;=Assumptions!$N$46, AD6&lt;Assumptions!$N$46),1/Assumptions!$N$46-Depreciation!$D$43,IF(AE6&lt;Assumptions!$N$46,1/Assumptions!$N$46,0))</f>
        <v>0</v>
      </c>
      <c r="AF43" s="273">
        <f>IF(AND(AF6&gt;=Assumptions!$N$46, AE6&lt;Assumptions!$N$46),1/Assumptions!$N$46-Depreciation!$D$43,IF(AF6&lt;Assumptions!$N$46,1/Assumptions!$N$46,0))</f>
        <v>0</v>
      </c>
      <c r="AG43" s="273">
        <f>IF(AND(AG6&gt;=Assumptions!$N$46, AF6&lt;Assumptions!$N$46),1/Assumptions!$N$46-Depreciation!$D$43,IF(AG6&lt;Assumptions!$N$46,1/Assumptions!$N$46,0))</f>
        <v>0</v>
      </c>
      <c r="AH43" s="27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240</v>
      </c>
      <c r="B45" s="368">
        <f>B16</f>
        <v>55293.375460452786</v>
      </c>
      <c r="C45" s="298"/>
      <c r="D45" s="18">
        <f t="shared" ref="D45:Y45" si="24">D41*$B$45</f>
        <v>1105.8675092090555</v>
      </c>
      <c r="E45" s="18">
        <f t="shared" si="24"/>
        <v>1658.8012638135835</v>
      </c>
      <c r="F45" s="18">
        <f t="shared" si="24"/>
        <v>1658.8012638135835</v>
      </c>
      <c r="G45" s="18">
        <f t="shared" si="24"/>
        <v>1658.8012638135835</v>
      </c>
      <c r="H45" s="18">
        <f t="shared" si="24"/>
        <v>1658.8012638135835</v>
      </c>
      <c r="I45" s="18">
        <f t="shared" si="24"/>
        <v>1658.8012638135835</v>
      </c>
      <c r="J45" s="18">
        <f t="shared" si="24"/>
        <v>1658.8012638135835</v>
      </c>
      <c r="K45" s="18">
        <f t="shared" si="24"/>
        <v>1658.8012638135835</v>
      </c>
      <c r="L45" s="18">
        <f t="shared" si="24"/>
        <v>1658.8012638135835</v>
      </c>
      <c r="M45" s="18">
        <f t="shared" si="24"/>
        <v>1658.8012638135835</v>
      </c>
      <c r="N45" s="18">
        <f t="shared" si="24"/>
        <v>1658.8012638135835</v>
      </c>
      <c r="O45" s="18">
        <f t="shared" si="24"/>
        <v>1658.8012638135835</v>
      </c>
      <c r="P45" s="18">
        <f t="shared" si="24"/>
        <v>1658.8012638135835</v>
      </c>
      <c r="Q45" s="18">
        <f t="shared" si="24"/>
        <v>1658.8012638135835</v>
      </c>
      <c r="R45" s="18">
        <f t="shared" si="24"/>
        <v>1658.8012638135835</v>
      </c>
      <c r="S45" s="18">
        <f t="shared" si="24"/>
        <v>1658.8012638135835</v>
      </c>
      <c r="T45" s="18">
        <f t="shared" si="24"/>
        <v>1658.8012638135835</v>
      </c>
      <c r="U45" s="18">
        <f t="shared" si="24"/>
        <v>1658.8012638135835</v>
      </c>
      <c r="V45" s="18">
        <f t="shared" si="24"/>
        <v>1658.8012638135835</v>
      </c>
      <c r="W45" s="18">
        <f t="shared" si="24"/>
        <v>1658.8012638135835</v>
      </c>
      <c r="X45" s="18">
        <f t="shared" si="24"/>
        <v>1658.8012638135835</v>
      </c>
      <c r="Y45" s="18">
        <f t="shared" si="24"/>
        <v>1658.8012638135835</v>
      </c>
      <c r="Z45" s="18">
        <f t="shared" ref="Z45:AH45" si="25">Z41*$B$45</f>
        <v>1658.8012638135835</v>
      </c>
      <c r="AA45" s="18">
        <f t="shared" si="25"/>
        <v>1658.8012638135835</v>
      </c>
      <c r="AB45" s="18">
        <f t="shared" si="25"/>
        <v>1658.8012638135835</v>
      </c>
      <c r="AC45" s="18">
        <f t="shared" si="25"/>
        <v>1658.8012638135835</v>
      </c>
      <c r="AD45" s="18">
        <f t="shared" si="25"/>
        <v>1658.8012638135835</v>
      </c>
      <c r="AE45" s="18">
        <f t="shared" si="25"/>
        <v>1658.8012638135835</v>
      </c>
      <c r="AF45" s="18">
        <f t="shared" si="25"/>
        <v>1658.8012638135835</v>
      </c>
      <c r="AG45" s="18">
        <f t="shared" si="25"/>
        <v>1658.8012638135835</v>
      </c>
      <c r="AH45" s="18">
        <f t="shared" si="25"/>
        <v>552.93375460452796</v>
      </c>
      <c r="AI45" s="20"/>
      <c r="AJ45" s="20"/>
      <c r="AK45" s="20"/>
      <c r="AL45" s="20"/>
    </row>
    <row r="46" spans="1:38" s="10" customFormat="1">
      <c r="A46" s="21" t="s">
        <v>241</v>
      </c>
      <c r="B46" s="297">
        <f>B17</f>
        <v>2561.7423500000004</v>
      </c>
      <c r="C46" s="298"/>
      <c r="D46" s="295">
        <f>D42*$B$46</f>
        <v>341.56564666666674</v>
      </c>
      <c r="E46" s="295">
        <f t="shared" ref="E46:AH46" si="26">E42*$B$46</f>
        <v>512.34847000000013</v>
      </c>
      <c r="F46" s="295">
        <f t="shared" si="26"/>
        <v>512.34847000000013</v>
      </c>
      <c r="G46" s="295">
        <f t="shared" si="26"/>
        <v>512.34847000000013</v>
      </c>
      <c r="H46" s="295">
        <f t="shared" si="26"/>
        <v>512.34847000000013</v>
      </c>
      <c r="I46" s="295">
        <f t="shared" si="26"/>
        <v>170.7828233333334</v>
      </c>
      <c r="J46" s="295">
        <f t="shared" si="26"/>
        <v>0</v>
      </c>
      <c r="K46" s="295">
        <f t="shared" si="26"/>
        <v>0</v>
      </c>
      <c r="L46" s="295">
        <f t="shared" si="26"/>
        <v>0</v>
      </c>
      <c r="M46" s="295">
        <f t="shared" si="26"/>
        <v>0</v>
      </c>
      <c r="N46" s="295">
        <f t="shared" si="26"/>
        <v>0</v>
      </c>
      <c r="O46" s="295">
        <f t="shared" si="26"/>
        <v>0</v>
      </c>
      <c r="P46" s="295">
        <f t="shared" si="26"/>
        <v>0</v>
      </c>
      <c r="Q46" s="295">
        <f t="shared" si="26"/>
        <v>0</v>
      </c>
      <c r="R46" s="295">
        <f t="shared" si="26"/>
        <v>0</v>
      </c>
      <c r="S46" s="295">
        <f t="shared" si="26"/>
        <v>0</v>
      </c>
      <c r="T46" s="295">
        <f t="shared" si="26"/>
        <v>0</v>
      </c>
      <c r="U46" s="295">
        <f t="shared" si="26"/>
        <v>0</v>
      </c>
      <c r="V46" s="295">
        <f t="shared" si="26"/>
        <v>0</v>
      </c>
      <c r="W46" s="295">
        <f t="shared" si="26"/>
        <v>0</v>
      </c>
      <c r="X46" s="295">
        <f t="shared" si="26"/>
        <v>0</v>
      </c>
      <c r="Y46" s="295">
        <f t="shared" si="26"/>
        <v>0</v>
      </c>
      <c r="Z46" s="295">
        <f t="shared" si="26"/>
        <v>0</v>
      </c>
      <c r="AA46" s="295">
        <f t="shared" si="26"/>
        <v>0</v>
      </c>
      <c r="AB46" s="295">
        <f t="shared" si="26"/>
        <v>0</v>
      </c>
      <c r="AC46" s="295">
        <f t="shared" si="26"/>
        <v>0</v>
      </c>
      <c r="AD46" s="295">
        <f t="shared" si="26"/>
        <v>0</v>
      </c>
      <c r="AE46" s="295">
        <f t="shared" si="26"/>
        <v>0</v>
      </c>
      <c r="AF46" s="295">
        <f t="shared" si="26"/>
        <v>0</v>
      </c>
      <c r="AG46" s="295">
        <f t="shared" si="26"/>
        <v>0</v>
      </c>
      <c r="AH46" s="295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306</v>
      </c>
      <c r="B47" s="369">
        <f>B18</f>
        <v>0</v>
      </c>
      <c r="C47" s="298"/>
      <c r="D47" s="370">
        <f t="shared" ref="D47:Y47" si="27">D43*$B$47</f>
        <v>0</v>
      </c>
      <c r="E47" s="370">
        <f t="shared" si="27"/>
        <v>0</v>
      </c>
      <c r="F47" s="370">
        <f t="shared" si="27"/>
        <v>0</v>
      </c>
      <c r="G47" s="370">
        <f t="shared" si="27"/>
        <v>0</v>
      </c>
      <c r="H47" s="370">
        <f t="shared" si="27"/>
        <v>0</v>
      </c>
      <c r="I47" s="370">
        <f t="shared" si="27"/>
        <v>0</v>
      </c>
      <c r="J47" s="370">
        <f t="shared" si="27"/>
        <v>0</v>
      </c>
      <c r="K47" s="370">
        <f t="shared" si="27"/>
        <v>0</v>
      </c>
      <c r="L47" s="370">
        <f t="shared" si="27"/>
        <v>0</v>
      </c>
      <c r="M47" s="370">
        <f t="shared" si="27"/>
        <v>0</v>
      </c>
      <c r="N47" s="370">
        <f t="shared" si="27"/>
        <v>0</v>
      </c>
      <c r="O47" s="370">
        <f t="shared" si="27"/>
        <v>0</v>
      </c>
      <c r="P47" s="370">
        <f t="shared" si="27"/>
        <v>0</v>
      </c>
      <c r="Q47" s="370">
        <f t="shared" si="27"/>
        <v>0</v>
      </c>
      <c r="R47" s="370">
        <f t="shared" si="27"/>
        <v>0</v>
      </c>
      <c r="S47" s="370">
        <f t="shared" si="27"/>
        <v>0</v>
      </c>
      <c r="T47" s="370">
        <f t="shared" si="27"/>
        <v>0</v>
      </c>
      <c r="U47" s="370">
        <f t="shared" si="27"/>
        <v>0</v>
      </c>
      <c r="V47" s="370">
        <f t="shared" si="27"/>
        <v>0</v>
      </c>
      <c r="W47" s="370">
        <f t="shared" si="27"/>
        <v>0</v>
      </c>
      <c r="X47" s="370">
        <f t="shared" si="27"/>
        <v>0</v>
      </c>
      <c r="Y47" s="370">
        <f t="shared" si="27"/>
        <v>0</v>
      </c>
      <c r="Z47" s="370">
        <f t="shared" ref="Z47:AH47" si="28">Z43*$B$47</f>
        <v>0</v>
      </c>
      <c r="AA47" s="370">
        <f t="shared" si="28"/>
        <v>0</v>
      </c>
      <c r="AB47" s="370">
        <f t="shared" si="28"/>
        <v>0</v>
      </c>
      <c r="AC47" s="370">
        <f t="shared" si="28"/>
        <v>0</v>
      </c>
      <c r="AD47" s="370">
        <f t="shared" si="28"/>
        <v>0</v>
      </c>
      <c r="AE47" s="370">
        <f t="shared" si="28"/>
        <v>0</v>
      </c>
      <c r="AF47" s="370">
        <f t="shared" si="28"/>
        <v>0</v>
      </c>
      <c r="AG47" s="370">
        <f t="shared" si="28"/>
        <v>0</v>
      </c>
      <c r="AH47" s="370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57855.117810452786</v>
      </c>
      <c r="C48" s="298"/>
      <c r="D48" s="18">
        <f t="shared" ref="D48:Y48" si="29">SUM(D45:D47)</f>
        <v>1447.4331558757222</v>
      </c>
      <c r="E48" s="18">
        <f t="shared" si="29"/>
        <v>2171.1497338135837</v>
      </c>
      <c r="F48" s="18">
        <f t="shared" si="29"/>
        <v>2171.1497338135837</v>
      </c>
      <c r="G48" s="18">
        <f t="shared" si="29"/>
        <v>2171.1497338135837</v>
      </c>
      <c r="H48" s="18">
        <f t="shared" si="29"/>
        <v>2171.1497338135837</v>
      </c>
      <c r="I48" s="18">
        <f t="shared" si="29"/>
        <v>1829.584087146917</v>
      </c>
      <c r="J48" s="18">
        <f t="shared" si="29"/>
        <v>1658.8012638135835</v>
      </c>
      <c r="K48" s="18">
        <f t="shared" si="29"/>
        <v>1658.8012638135835</v>
      </c>
      <c r="L48" s="18">
        <f t="shared" si="29"/>
        <v>1658.8012638135835</v>
      </c>
      <c r="M48" s="18">
        <f t="shared" si="29"/>
        <v>1658.8012638135835</v>
      </c>
      <c r="N48" s="18">
        <f t="shared" si="29"/>
        <v>1658.8012638135835</v>
      </c>
      <c r="O48" s="18">
        <f t="shared" si="29"/>
        <v>1658.8012638135835</v>
      </c>
      <c r="P48" s="18">
        <f t="shared" si="29"/>
        <v>1658.8012638135835</v>
      </c>
      <c r="Q48" s="18">
        <f t="shared" si="29"/>
        <v>1658.8012638135835</v>
      </c>
      <c r="R48" s="18">
        <f t="shared" si="29"/>
        <v>1658.8012638135835</v>
      </c>
      <c r="S48" s="18">
        <f t="shared" si="29"/>
        <v>1658.8012638135835</v>
      </c>
      <c r="T48" s="18">
        <f t="shared" si="29"/>
        <v>1658.8012638135835</v>
      </c>
      <c r="U48" s="18">
        <f t="shared" si="29"/>
        <v>1658.8012638135835</v>
      </c>
      <c r="V48" s="18">
        <f t="shared" si="29"/>
        <v>1658.8012638135835</v>
      </c>
      <c r="W48" s="18">
        <f t="shared" si="29"/>
        <v>1658.8012638135835</v>
      </c>
      <c r="X48" s="18">
        <f t="shared" si="29"/>
        <v>1658.8012638135835</v>
      </c>
      <c r="Y48" s="18">
        <f t="shared" si="29"/>
        <v>1658.8012638135835</v>
      </c>
      <c r="Z48" s="18">
        <f t="shared" ref="Z48:AH48" si="30">SUM(Z45:Z47)</f>
        <v>1658.8012638135835</v>
      </c>
      <c r="AA48" s="18">
        <f t="shared" si="30"/>
        <v>1658.8012638135835</v>
      </c>
      <c r="AB48" s="18">
        <f t="shared" si="30"/>
        <v>1658.8012638135835</v>
      </c>
      <c r="AC48" s="18">
        <f t="shared" si="30"/>
        <v>1658.8012638135835</v>
      </c>
      <c r="AD48" s="18">
        <f t="shared" si="30"/>
        <v>1658.8012638135835</v>
      </c>
      <c r="AE48" s="18">
        <f t="shared" si="30"/>
        <v>1658.8012638135835</v>
      </c>
      <c r="AF48" s="18">
        <f t="shared" si="30"/>
        <v>1658.8012638135835</v>
      </c>
      <c r="AG48" s="18">
        <f t="shared" si="30"/>
        <v>1658.8012638135835</v>
      </c>
      <c r="AH48" s="18">
        <f t="shared" si="30"/>
        <v>552.93375460452796</v>
      </c>
      <c r="AI48" s="20"/>
      <c r="AJ48" s="20"/>
      <c r="AK48" s="20"/>
      <c r="AL48" s="20"/>
    </row>
    <row r="49" spans="1:38">
      <c r="A49" s="22"/>
      <c r="B49" s="18"/>
      <c r="C49" s="37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0" t="s">
        <v>67</v>
      </c>
      <c r="B50" s="374">
        <f>B48</f>
        <v>57855.117810452786</v>
      </c>
      <c r="C50" s="373"/>
      <c r="D50" s="299">
        <f>B48-D48</f>
        <v>56407.684654577068</v>
      </c>
      <c r="E50" s="299">
        <f>D50-E48</f>
        <v>54236.534920763486</v>
      </c>
      <c r="F50" s="299">
        <f t="shared" ref="F50:Y50" si="31">E50-F48</f>
        <v>52065.385186949905</v>
      </c>
      <c r="G50" s="299">
        <f t="shared" si="31"/>
        <v>49894.235453136323</v>
      </c>
      <c r="H50" s="299">
        <f t="shared" si="31"/>
        <v>47723.085719322742</v>
      </c>
      <c r="I50" s="299">
        <f t="shared" si="31"/>
        <v>45893.501632175823</v>
      </c>
      <c r="J50" s="299">
        <f t="shared" si="31"/>
        <v>44234.700368362239</v>
      </c>
      <c r="K50" s="299">
        <f t="shared" si="31"/>
        <v>42575.899104548655</v>
      </c>
      <c r="L50" s="299">
        <f t="shared" si="31"/>
        <v>40917.09784073507</v>
      </c>
      <c r="M50" s="299">
        <f t="shared" si="31"/>
        <v>39258.296576921486</v>
      </c>
      <c r="N50" s="299">
        <f t="shared" si="31"/>
        <v>37599.495313107902</v>
      </c>
      <c r="O50" s="299">
        <f t="shared" si="31"/>
        <v>35940.694049294318</v>
      </c>
      <c r="P50" s="299">
        <f t="shared" si="31"/>
        <v>34281.892785480733</v>
      </c>
      <c r="Q50" s="299">
        <f t="shared" si="31"/>
        <v>32623.091521667149</v>
      </c>
      <c r="R50" s="299">
        <f t="shared" si="31"/>
        <v>30964.290257853565</v>
      </c>
      <c r="S50" s="299">
        <f t="shared" si="31"/>
        <v>29305.488994039981</v>
      </c>
      <c r="T50" s="299">
        <f t="shared" si="31"/>
        <v>27646.687730226397</v>
      </c>
      <c r="U50" s="299">
        <f t="shared" si="31"/>
        <v>25987.886466412812</v>
      </c>
      <c r="V50" s="299">
        <f t="shared" si="31"/>
        <v>24329.085202599228</v>
      </c>
      <c r="W50" s="299">
        <f t="shared" si="31"/>
        <v>22670.283938785644</v>
      </c>
      <c r="X50" s="299">
        <f t="shared" si="31"/>
        <v>21011.48267497206</v>
      </c>
      <c r="Y50" s="299">
        <f t="shared" si="31"/>
        <v>19352.681411158475</v>
      </c>
      <c r="Z50" s="299">
        <f t="shared" ref="Z50:AH50" si="32">Y50-Z48</f>
        <v>17693.880147344891</v>
      </c>
      <c r="AA50" s="299">
        <f t="shared" si="32"/>
        <v>16035.078883531307</v>
      </c>
      <c r="AB50" s="299">
        <f t="shared" si="32"/>
        <v>14376.277619717723</v>
      </c>
      <c r="AC50" s="299">
        <f t="shared" si="32"/>
        <v>12717.476355904138</v>
      </c>
      <c r="AD50" s="299">
        <f t="shared" si="32"/>
        <v>11058.675092090554</v>
      </c>
      <c r="AE50" s="299">
        <f t="shared" si="32"/>
        <v>9399.87382827697</v>
      </c>
      <c r="AF50" s="299">
        <f t="shared" si="32"/>
        <v>7741.0725644633867</v>
      </c>
      <c r="AG50" s="299">
        <f t="shared" si="32"/>
        <v>6082.2713006498034</v>
      </c>
      <c r="AH50" s="299">
        <f t="shared" si="32"/>
        <v>5529.3375460452753</v>
      </c>
      <c r="AI50" s="236"/>
      <c r="AJ50" s="236"/>
      <c r="AK50" s="236"/>
      <c r="AL50" s="236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CIPCO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6"/>
      <c r="B6" s="211">
        <f>'Price_Technical Assumption'!D7</f>
        <v>0.66666666666666663</v>
      </c>
      <c r="C6" s="211">
        <f>'Price_Technical Assumption'!E7</f>
        <v>1.6666666666666665</v>
      </c>
      <c r="D6" s="211">
        <f>'Price_Technical Assumption'!F7</f>
        <v>2.6666666666666665</v>
      </c>
      <c r="E6" s="211">
        <f>'Price_Technical Assumption'!G7</f>
        <v>3.6666666666666665</v>
      </c>
      <c r="F6" s="211">
        <f>'Price_Technical Assumption'!H7</f>
        <v>4.6666666666666661</v>
      </c>
      <c r="G6" s="211">
        <f>'Price_Technical Assumption'!I7</f>
        <v>5.6666666666666661</v>
      </c>
      <c r="H6" s="211">
        <f>'Price_Technical Assumption'!J7</f>
        <v>6.6666666666666661</v>
      </c>
      <c r="I6" s="211">
        <f>'Price_Technical Assumption'!K7</f>
        <v>7.6666666666666661</v>
      </c>
      <c r="J6" s="211">
        <f>'Price_Technical Assumption'!L7</f>
        <v>8.6666666666666661</v>
      </c>
      <c r="K6" s="211">
        <f>'Price_Technical Assumption'!M7</f>
        <v>9.6666666666666661</v>
      </c>
      <c r="L6" s="211">
        <f>'Price_Technical Assumption'!N7</f>
        <v>10.666666666666666</v>
      </c>
      <c r="M6" s="211">
        <f>'Price_Technical Assumption'!O7</f>
        <v>11.666666666666666</v>
      </c>
      <c r="N6" s="211">
        <f>'Price_Technical Assumption'!P7</f>
        <v>12.666666666666666</v>
      </c>
      <c r="O6" s="211">
        <f>'Price_Technical Assumption'!Q7</f>
        <v>13.666666666666666</v>
      </c>
      <c r="P6" s="211">
        <f>'Price_Technical Assumption'!R7</f>
        <v>14.666666666666666</v>
      </c>
      <c r="Q6" s="211">
        <f>'Price_Technical Assumption'!S7</f>
        <v>15.666666666666666</v>
      </c>
      <c r="R6" s="211">
        <f>'Price_Technical Assumption'!T7</f>
        <v>16.666666666666664</v>
      </c>
      <c r="S6" s="211">
        <f>'Price_Technical Assumption'!U7</f>
        <v>17.666666666666664</v>
      </c>
      <c r="T6" s="211">
        <f>'Price_Technical Assumption'!V7</f>
        <v>18.666666666666664</v>
      </c>
      <c r="U6" s="211">
        <f>'Price_Technical Assumption'!W7</f>
        <v>19.666666666666664</v>
      </c>
      <c r="V6" s="211">
        <f>'Price_Technical Assumption'!X7</f>
        <v>20.666666666666664</v>
      </c>
      <c r="W6" s="211">
        <f>'Price_Technical Assumption'!Y7</f>
        <v>21.666666666666664</v>
      </c>
      <c r="X6" s="211">
        <f>'Price_Technical Assumption'!Z7</f>
        <v>22.666666666666664</v>
      </c>
      <c r="Y6" s="211">
        <f>'Price_Technical Assumption'!AA7</f>
        <v>23.666666666666664</v>
      </c>
      <c r="Z6" s="211">
        <f>'Price_Technical Assumption'!AB7</f>
        <v>24.666666666666664</v>
      </c>
      <c r="AA6" s="211">
        <f>'Price_Technical Assumption'!AC7</f>
        <v>25.666666666666664</v>
      </c>
      <c r="AB6" s="211">
        <f>'Price_Technical Assumption'!AD7</f>
        <v>26.666666666666664</v>
      </c>
      <c r="AC6" s="211">
        <f>'Price_Technical Assumption'!AE7</f>
        <v>27.666666666666664</v>
      </c>
      <c r="AD6" s="211">
        <f>'Price_Technical Assumption'!AF7</f>
        <v>28.666666666666664</v>
      </c>
      <c r="AE6" s="211">
        <f>'Price_Technical Assumption'!AG7</f>
        <v>29.666666666666664</v>
      </c>
      <c r="AF6" s="211">
        <f>'Price_Technical Assumption'!AH7</f>
        <v>30.666666666666664</v>
      </c>
    </row>
    <row r="7" spans="1:32" ht="13.5" thickBot="1">
      <c r="A7" s="121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6"/>
      <c r="B8" s="202">
        <f>Depreciation!D8</f>
        <v>37256</v>
      </c>
      <c r="C8" s="202">
        <f>Depreciation!E8</f>
        <v>37621</v>
      </c>
      <c r="D8" s="202">
        <f>Depreciation!F8</f>
        <v>37986</v>
      </c>
      <c r="E8" s="202">
        <f>Depreciation!G8</f>
        <v>38352</v>
      </c>
      <c r="F8" s="202">
        <f>Depreciation!H8</f>
        <v>38717</v>
      </c>
      <c r="G8" s="202">
        <f>Depreciation!I8</f>
        <v>39082</v>
      </c>
      <c r="H8" s="202">
        <f>Depreciation!J8</f>
        <v>39447</v>
      </c>
      <c r="I8" s="202">
        <f>Depreciation!K8</f>
        <v>39813</v>
      </c>
      <c r="J8" s="202">
        <f>Depreciation!L8</f>
        <v>40178</v>
      </c>
      <c r="K8" s="202">
        <f>Depreciation!M8</f>
        <v>40543</v>
      </c>
      <c r="L8" s="202">
        <f>Depreciation!N8</f>
        <v>40908</v>
      </c>
      <c r="M8" s="202">
        <f>Depreciation!O8</f>
        <v>41274</v>
      </c>
      <c r="N8" s="202">
        <f>Depreciation!P8</f>
        <v>41639</v>
      </c>
      <c r="O8" s="202">
        <f>Depreciation!Q8</f>
        <v>42004</v>
      </c>
      <c r="P8" s="202">
        <f>Depreciation!R8</f>
        <v>42369</v>
      </c>
      <c r="Q8" s="202">
        <f>Depreciation!S8</f>
        <v>42735</v>
      </c>
      <c r="R8" s="202">
        <f>Depreciation!T8</f>
        <v>43100</v>
      </c>
      <c r="S8" s="202">
        <f>Depreciation!U8</f>
        <v>43465</v>
      </c>
      <c r="T8" s="202">
        <f>Depreciation!V8</f>
        <v>43830</v>
      </c>
      <c r="U8" s="202">
        <f>Depreciation!W8</f>
        <v>44196</v>
      </c>
      <c r="V8" s="202">
        <f>Depreciation!X8</f>
        <v>44561</v>
      </c>
      <c r="W8" s="202">
        <f>Depreciation!Y8</f>
        <v>44926</v>
      </c>
      <c r="X8" s="202">
        <f>Depreciation!Z8</f>
        <v>45291</v>
      </c>
      <c r="Y8" s="202">
        <f>Depreciation!AA8</f>
        <v>45657</v>
      </c>
      <c r="Z8" s="202">
        <f>Depreciation!AB8</f>
        <v>46022</v>
      </c>
      <c r="AA8" s="202">
        <f>Depreciation!AC8</f>
        <v>46387</v>
      </c>
      <c r="AB8" s="202">
        <f>Depreciation!AD8</f>
        <v>46752</v>
      </c>
      <c r="AC8" s="202">
        <f>Depreciation!AE8</f>
        <v>47118</v>
      </c>
      <c r="AD8" s="202">
        <f>Depreciation!AF8</f>
        <v>47483</v>
      </c>
      <c r="AE8" s="202">
        <f>Depreciation!AG8</f>
        <v>47848</v>
      </c>
      <c r="AF8" s="202">
        <f>Depreciation!AH8</f>
        <v>48213</v>
      </c>
    </row>
    <row r="9" spans="1:32">
      <c r="A9" s="127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202</v>
      </c>
      <c r="B10" s="19">
        <f>IS!C40</f>
        <v>975.0480952005928</v>
      </c>
      <c r="C10" s="19">
        <f>IS!D40</f>
        <v>1558.1105002162749</v>
      </c>
      <c r="D10" s="19">
        <f>IS!E40</f>
        <v>1673.3137736674234</v>
      </c>
      <c r="E10" s="19">
        <f>IS!F40</f>
        <v>1797.5496127938004</v>
      </c>
      <c r="F10" s="19">
        <f>IS!G40</f>
        <v>1933.1790925357145</v>
      </c>
      <c r="G10" s="19">
        <f>IS!H40</f>
        <v>2420.6158509729212</v>
      </c>
      <c r="H10" s="19">
        <f>IS!I40</f>
        <v>2749.3046890933965</v>
      </c>
      <c r="I10" s="19">
        <f>IS!J40</f>
        <v>2919.5254865594234</v>
      </c>
      <c r="J10" s="19">
        <f>IS!K40</f>
        <v>3104.9177706750397</v>
      </c>
      <c r="K10" s="19">
        <f>IS!L40</f>
        <v>3304.5861584006298</v>
      </c>
      <c r="L10" s="19">
        <f>IS!M40</f>
        <v>3520.6882633246651</v>
      </c>
      <c r="M10" s="19">
        <f>IS!N40</f>
        <v>3753.8426489417889</v>
      </c>
      <c r="N10" s="19">
        <f>IS!O40</f>
        <v>4007.3387641529262</v>
      </c>
      <c r="O10" s="19">
        <f>IS!P40</f>
        <v>4280.6324356854338</v>
      </c>
      <c r="P10" s="19">
        <f>IS!Q40</f>
        <v>4576.3799051138285</v>
      </c>
      <c r="Q10" s="19">
        <f>IS!R40</f>
        <v>4895.6632481243287</v>
      </c>
      <c r="R10" s="19">
        <f>IS!S40</f>
        <v>5242.3641549114473</v>
      </c>
      <c r="S10" s="19">
        <f>IS!T40</f>
        <v>5616.4191069998369</v>
      </c>
      <c r="T10" s="19">
        <f>IS!U40</f>
        <v>6021.1667527650134</v>
      </c>
      <c r="U10" s="19">
        <f>IS!V40</f>
        <v>6458.3235163066856</v>
      </c>
      <c r="V10" s="19">
        <f>IS!W40</f>
        <v>765.13242744727722</v>
      </c>
      <c r="W10" s="19">
        <f>IS!X40</f>
        <v>-3163.6542028322856</v>
      </c>
      <c r="X10" s="19">
        <f>IS!Y40</f>
        <v>-3254.8040118384051</v>
      </c>
      <c r="Y10" s="19">
        <f>IS!Z40</f>
        <v>-3385.0144324223666</v>
      </c>
      <c r="Z10" s="19">
        <f>IS!AA40</f>
        <v>-3525.9221535749584</v>
      </c>
      <c r="AA10" s="19">
        <f>IS!AB40</f>
        <v>-3678.2538329175568</v>
      </c>
      <c r="AB10" s="19">
        <f>IS!AC40</f>
        <v>-3843.0411383033043</v>
      </c>
      <c r="AC10" s="19">
        <f>IS!AD40</f>
        <v>-4021.2430825452848</v>
      </c>
      <c r="AD10" s="19">
        <f>IS!AE40</f>
        <v>-4214.0850206596551</v>
      </c>
      <c r="AE10" s="19">
        <f>IS!AF40</f>
        <v>-4422.5614337359266</v>
      </c>
      <c r="AF10" s="19">
        <f>IS!AG40</f>
        <v>-3525.4710262243293</v>
      </c>
    </row>
    <row r="11" spans="1:32">
      <c r="A11" s="21" t="s">
        <v>69</v>
      </c>
      <c r="B11" s="19">
        <f>IS!C34</f>
        <v>1447.4331558757222</v>
      </c>
      <c r="C11" s="19">
        <f>IS!D34</f>
        <v>2171.1497338135837</v>
      </c>
      <c r="D11" s="19">
        <f>IS!E34</f>
        <v>2171.1497338135837</v>
      </c>
      <c r="E11" s="19">
        <f>IS!F34</f>
        <v>2171.1497338135837</v>
      </c>
      <c r="F11" s="19">
        <f>IS!G34</f>
        <v>2171.1497338135837</v>
      </c>
      <c r="G11" s="19">
        <f>IS!H34</f>
        <v>1829.584087146917</v>
      </c>
      <c r="H11" s="19">
        <f>IS!I34</f>
        <v>1658.8012638135835</v>
      </c>
      <c r="I11" s="19">
        <f>IS!J34</f>
        <v>1658.8012638135835</v>
      </c>
      <c r="J11" s="19">
        <f>IS!K34</f>
        <v>1658.8012638135835</v>
      </c>
      <c r="K11" s="19">
        <f>IS!L34</f>
        <v>1658.8012638135835</v>
      </c>
      <c r="L11" s="19">
        <f>IS!M34</f>
        <v>1658.8012638135835</v>
      </c>
      <c r="M11" s="19">
        <f>IS!N34</f>
        <v>1658.8012638135835</v>
      </c>
      <c r="N11" s="19">
        <f>IS!O34</f>
        <v>1658.8012638135835</v>
      </c>
      <c r="O11" s="19">
        <f>IS!P34</f>
        <v>1658.8012638135835</v>
      </c>
      <c r="P11" s="19">
        <f>IS!Q34</f>
        <v>1658.8012638135835</v>
      </c>
      <c r="Q11" s="19">
        <f>IS!R34</f>
        <v>1658.8012638135835</v>
      </c>
      <c r="R11" s="19">
        <f>IS!S34</f>
        <v>1658.8012638135835</v>
      </c>
      <c r="S11" s="19">
        <f>IS!T34</f>
        <v>1658.8012638135835</v>
      </c>
      <c r="T11" s="19">
        <f>IS!U34</f>
        <v>1658.8012638135835</v>
      </c>
      <c r="U11" s="19">
        <f>IS!V34</f>
        <v>1658.8012638135835</v>
      </c>
      <c r="V11" s="19">
        <f>IS!W34</f>
        <v>1658.8012638135835</v>
      </c>
      <c r="W11" s="19">
        <f>IS!X34</f>
        <v>1658.8012638135835</v>
      </c>
      <c r="X11" s="19">
        <f>IS!Y34</f>
        <v>1658.8012638135835</v>
      </c>
      <c r="Y11" s="19">
        <f>IS!Z34</f>
        <v>1658.8012638135835</v>
      </c>
      <c r="Z11" s="19">
        <f>IS!AA34</f>
        <v>1658.8012638135835</v>
      </c>
      <c r="AA11" s="19">
        <f>IS!AB34</f>
        <v>1658.8012638135835</v>
      </c>
      <c r="AB11" s="19">
        <f>IS!AC34</f>
        <v>1658.8012638135835</v>
      </c>
      <c r="AC11" s="19">
        <f>IS!AD34</f>
        <v>1658.8012638135835</v>
      </c>
      <c r="AD11" s="19">
        <f>IS!AE34</f>
        <v>1658.8012638135835</v>
      </c>
      <c r="AE11" s="19">
        <f>IS!AF34</f>
        <v>1658.8012638135835</v>
      </c>
      <c r="AF11" s="19">
        <f>IS!AG34</f>
        <v>552.93375460452796</v>
      </c>
    </row>
    <row r="12" spans="1:32" ht="15">
      <c r="A12" s="21" t="s">
        <v>70</v>
      </c>
      <c r="B12" s="129">
        <f>-Depreciation!D34</f>
        <v>-3106.2344196893064</v>
      </c>
      <c r="C12" s="129">
        <f>-Depreciation!E34</f>
        <v>-5765.2191387430148</v>
      </c>
      <c r="D12" s="129">
        <f>-Depreciation!F34</f>
        <v>-5239.9320718687131</v>
      </c>
      <c r="E12" s="129">
        <f>-Depreciation!G34</f>
        <v>-4769.9383804548643</v>
      </c>
      <c r="F12" s="129">
        <f>-Depreciation!H34</f>
        <v>-4344.179389409378</v>
      </c>
      <c r="G12" s="129">
        <f>-Depreciation!I34</f>
        <v>-3615.5601145195419</v>
      </c>
      <c r="H12" s="129">
        <f>-Depreciation!J34</f>
        <v>-3262.3091521667143</v>
      </c>
      <c r="I12" s="129">
        <f>-Depreciation!K34</f>
        <v>-3267.8384897127598</v>
      </c>
      <c r="J12" s="129">
        <f>-Depreciation!L34</f>
        <v>-3262.3091521667143</v>
      </c>
      <c r="K12" s="129">
        <f>-Depreciation!M34</f>
        <v>-3267.8384897127598</v>
      </c>
      <c r="L12" s="129">
        <f>-Depreciation!N34</f>
        <v>-3262.3091521667143</v>
      </c>
      <c r="M12" s="129">
        <f>-Depreciation!O34</f>
        <v>-3267.8384897127598</v>
      </c>
      <c r="N12" s="129">
        <f>-Depreciation!P34</f>
        <v>-3262.3091521667143</v>
      </c>
      <c r="O12" s="129">
        <f>-Depreciation!Q34</f>
        <v>-3267.8384897127598</v>
      </c>
      <c r="P12" s="129">
        <f>-Depreciation!R34</f>
        <v>-3262.3091521667143</v>
      </c>
      <c r="Q12" s="129">
        <f>-Depreciation!S34</f>
        <v>-1631.1545760833571</v>
      </c>
      <c r="R12" s="129">
        <f>-Depreciation!T34</f>
        <v>0</v>
      </c>
      <c r="S12" s="129">
        <f>-Depreciation!U34</f>
        <v>0</v>
      </c>
      <c r="T12" s="129">
        <f>-Depreciation!V34</f>
        <v>0</v>
      </c>
      <c r="U12" s="129">
        <f>-Depreciation!W34</f>
        <v>0</v>
      </c>
      <c r="V12" s="129">
        <f>-Depreciation!X34</f>
        <v>0</v>
      </c>
      <c r="W12" s="129">
        <f>-Depreciation!Y34</f>
        <v>0</v>
      </c>
      <c r="X12" s="129">
        <f>-Depreciation!Z34</f>
        <v>0</v>
      </c>
      <c r="Y12" s="129">
        <f>-Depreciation!AA34</f>
        <v>0</v>
      </c>
      <c r="Z12" s="129">
        <f>-Depreciation!AB34</f>
        <v>0</v>
      </c>
      <c r="AA12" s="129">
        <f>-Depreciation!AC34</f>
        <v>0</v>
      </c>
      <c r="AB12" s="129">
        <f>-Depreciation!AD34</f>
        <v>0</v>
      </c>
      <c r="AC12" s="129">
        <f>-Depreciation!AE34</f>
        <v>0</v>
      </c>
      <c r="AD12" s="129">
        <f>-Depreciation!AF34</f>
        <v>0</v>
      </c>
      <c r="AE12" s="129">
        <f>-Depreciation!AG34</f>
        <v>0</v>
      </c>
      <c r="AF12" s="129">
        <f>-Depreciation!AH34</f>
        <v>0</v>
      </c>
    </row>
    <row r="13" spans="1:32">
      <c r="A13" s="128" t="s">
        <v>71</v>
      </c>
      <c r="B13" s="23">
        <f>SUM(B10:B12)</f>
        <v>-683.75316861299143</v>
      </c>
      <c r="C13" s="23">
        <f t="shared" ref="C13:W13" si="0">SUM(C10:C12)</f>
        <v>-2035.9589047131562</v>
      </c>
      <c r="D13" s="23">
        <f t="shared" si="0"/>
        <v>-1395.468564387706</v>
      </c>
      <c r="E13" s="23">
        <f t="shared" si="0"/>
        <v>-801.23903384748019</v>
      </c>
      <c r="F13" s="23">
        <f t="shared" si="0"/>
        <v>-239.85056306008028</v>
      </c>
      <c r="G13" s="23">
        <f t="shared" si="0"/>
        <v>634.63982360029649</v>
      </c>
      <c r="H13" s="23">
        <f t="shared" si="0"/>
        <v>1145.7968007402656</v>
      </c>
      <c r="I13" s="23">
        <f t="shared" si="0"/>
        <v>1310.4882606602469</v>
      </c>
      <c r="J13" s="23">
        <f t="shared" si="0"/>
        <v>1501.4098823219088</v>
      </c>
      <c r="K13" s="23">
        <f t="shared" si="0"/>
        <v>1695.5489325014532</v>
      </c>
      <c r="L13" s="23">
        <f t="shared" si="0"/>
        <v>1917.1803749715341</v>
      </c>
      <c r="M13" s="23">
        <f t="shared" si="0"/>
        <v>2144.8054230426123</v>
      </c>
      <c r="N13" s="23">
        <f t="shared" si="0"/>
        <v>2403.8308757997952</v>
      </c>
      <c r="O13" s="23">
        <f t="shared" si="0"/>
        <v>2671.5952097862573</v>
      </c>
      <c r="P13" s="23">
        <f t="shared" si="0"/>
        <v>2972.8720167606975</v>
      </c>
      <c r="Q13" s="23">
        <f t="shared" si="0"/>
        <v>4923.3099358545551</v>
      </c>
      <c r="R13" s="23">
        <f t="shared" si="0"/>
        <v>6901.1654187250306</v>
      </c>
      <c r="S13" s="23">
        <f t="shared" si="0"/>
        <v>7275.2203708134202</v>
      </c>
      <c r="T13" s="23">
        <f t="shared" si="0"/>
        <v>7679.9680165785967</v>
      </c>
      <c r="U13" s="23">
        <f t="shared" si="0"/>
        <v>8117.124780120269</v>
      </c>
      <c r="V13" s="23">
        <f t="shared" si="0"/>
        <v>2423.9336912608605</v>
      </c>
      <c r="W13" s="23">
        <f t="shared" si="0"/>
        <v>-1504.852939018702</v>
      </c>
      <c r="X13" s="23">
        <f t="shared" ref="X13:AF13" si="1">SUM(X10:X12)</f>
        <v>-1596.0027480248216</v>
      </c>
      <c r="Y13" s="23">
        <f t="shared" si="1"/>
        <v>-1726.213168608783</v>
      </c>
      <c r="Z13" s="23">
        <f t="shared" si="1"/>
        <v>-1867.1208897613749</v>
      </c>
      <c r="AA13" s="23">
        <f t="shared" si="1"/>
        <v>-2019.4525691039732</v>
      </c>
      <c r="AB13" s="23">
        <f t="shared" si="1"/>
        <v>-2184.2398744897209</v>
      </c>
      <c r="AC13" s="23">
        <f t="shared" si="1"/>
        <v>-2362.4418187317015</v>
      </c>
      <c r="AD13" s="23">
        <f t="shared" si="1"/>
        <v>-2555.2837568460718</v>
      </c>
      <c r="AE13" s="23">
        <f t="shared" si="1"/>
        <v>-2763.7601699223433</v>
      </c>
      <c r="AF13" s="23">
        <f t="shared" si="1"/>
        <v>-2972.5372716198012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0">
        <f>Assumptions!$N$51</f>
        <v>7.0000000000000007E-2</v>
      </c>
      <c r="C15" s="130">
        <f>Assumptions!$N$51</f>
        <v>7.0000000000000007E-2</v>
      </c>
      <c r="D15" s="130">
        <f>Assumptions!$N$51</f>
        <v>7.0000000000000007E-2</v>
      </c>
      <c r="E15" s="130">
        <f>Assumptions!$N$51</f>
        <v>7.0000000000000007E-2</v>
      </c>
      <c r="F15" s="130">
        <f>Assumptions!$N$51</f>
        <v>7.0000000000000007E-2</v>
      </c>
      <c r="G15" s="130">
        <f>Assumptions!$N$51</f>
        <v>7.0000000000000007E-2</v>
      </c>
      <c r="H15" s="130">
        <f>Assumptions!$N$51</f>
        <v>7.0000000000000007E-2</v>
      </c>
      <c r="I15" s="130">
        <f>Assumptions!$N$51</f>
        <v>7.0000000000000007E-2</v>
      </c>
      <c r="J15" s="130">
        <f>Assumptions!$N$51</f>
        <v>7.0000000000000007E-2</v>
      </c>
      <c r="K15" s="130">
        <f>Assumptions!$N$51</f>
        <v>7.0000000000000007E-2</v>
      </c>
      <c r="L15" s="130">
        <f>Assumptions!$N$51</f>
        <v>7.0000000000000007E-2</v>
      </c>
      <c r="M15" s="130">
        <f>Assumptions!$N$51</f>
        <v>7.0000000000000007E-2</v>
      </c>
      <c r="N15" s="130">
        <f>Assumptions!$N$51</f>
        <v>7.0000000000000007E-2</v>
      </c>
      <c r="O15" s="130">
        <f>Assumptions!$N$51</f>
        <v>7.0000000000000007E-2</v>
      </c>
      <c r="P15" s="130">
        <f>Assumptions!$N$51</f>
        <v>7.0000000000000007E-2</v>
      </c>
      <c r="Q15" s="130">
        <f>Assumptions!$N$51</f>
        <v>7.0000000000000007E-2</v>
      </c>
      <c r="R15" s="130">
        <f>Assumptions!$N$51</f>
        <v>7.0000000000000007E-2</v>
      </c>
      <c r="S15" s="130">
        <f>Assumptions!$N$51</f>
        <v>7.0000000000000007E-2</v>
      </c>
      <c r="T15" s="130">
        <f>Assumptions!$N$51</f>
        <v>7.0000000000000007E-2</v>
      </c>
      <c r="U15" s="130">
        <f>Assumptions!$N$51</f>
        <v>7.0000000000000007E-2</v>
      </c>
      <c r="V15" s="130">
        <f>Assumptions!$N$51</f>
        <v>7.0000000000000007E-2</v>
      </c>
      <c r="W15" s="130">
        <f>Assumptions!$N$51</f>
        <v>7.0000000000000007E-2</v>
      </c>
      <c r="X15" s="130">
        <f>Assumptions!$N$51</f>
        <v>7.0000000000000007E-2</v>
      </c>
      <c r="Y15" s="130">
        <f>Assumptions!$N$51</f>
        <v>7.0000000000000007E-2</v>
      </c>
      <c r="Z15" s="130">
        <f>Assumptions!$N$51</f>
        <v>7.0000000000000007E-2</v>
      </c>
      <c r="AA15" s="130">
        <f>Assumptions!$N$51</f>
        <v>7.0000000000000007E-2</v>
      </c>
      <c r="AB15" s="130">
        <f>Assumptions!$N$51</f>
        <v>7.0000000000000007E-2</v>
      </c>
      <c r="AC15" s="130">
        <f>Assumptions!$N$51</f>
        <v>7.0000000000000007E-2</v>
      </c>
      <c r="AD15" s="130">
        <f>Assumptions!$N$51</f>
        <v>7.0000000000000007E-2</v>
      </c>
      <c r="AE15" s="130">
        <f>Assumptions!$N$51</f>
        <v>7.0000000000000007E-2</v>
      </c>
      <c r="AF15" s="130">
        <f>Assumptions!$N$51</f>
        <v>7.0000000000000007E-2</v>
      </c>
    </row>
    <row r="16" spans="1:32">
      <c r="A16" s="21" t="s">
        <v>72</v>
      </c>
      <c r="B16" s="19">
        <f t="shared" ref="B16:AF16" si="2">B13*B15</f>
        <v>-47.862721802909405</v>
      </c>
      <c r="C16" s="19">
        <f t="shared" si="2"/>
        <v>-142.51712332992096</v>
      </c>
      <c r="D16" s="19">
        <f t="shared" si="2"/>
        <v>-97.682799507139435</v>
      </c>
      <c r="E16" s="19">
        <f t="shared" si="2"/>
        <v>-56.08673236932362</v>
      </c>
      <c r="F16" s="19">
        <f t="shared" si="2"/>
        <v>-16.78953941420562</v>
      </c>
      <c r="G16" s="19">
        <f t="shared" si="2"/>
        <v>44.424787652020761</v>
      </c>
      <c r="H16" s="19">
        <f t="shared" si="2"/>
        <v>80.205776051818603</v>
      </c>
      <c r="I16" s="19">
        <f t="shared" si="2"/>
        <v>91.734178246217283</v>
      </c>
      <c r="J16" s="19">
        <f t="shared" si="2"/>
        <v>105.09869176253362</v>
      </c>
      <c r="K16" s="19">
        <f t="shared" si="2"/>
        <v>118.68842527510174</v>
      </c>
      <c r="L16" s="19">
        <f t="shared" si="2"/>
        <v>134.20262624800739</v>
      </c>
      <c r="M16" s="19">
        <f t="shared" si="2"/>
        <v>150.13637961298289</v>
      </c>
      <c r="N16" s="19">
        <f t="shared" si="2"/>
        <v>168.26816130598567</v>
      </c>
      <c r="O16" s="19">
        <f t="shared" si="2"/>
        <v>187.01166468503803</v>
      </c>
      <c r="P16" s="19">
        <f t="shared" si="2"/>
        <v>208.10104117324886</v>
      </c>
      <c r="Q16" s="19">
        <f t="shared" si="2"/>
        <v>344.63169550981888</v>
      </c>
      <c r="R16" s="19">
        <f t="shared" si="2"/>
        <v>483.0815793107522</v>
      </c>
      <c r="S16" s="19">
        <f t="shared" si="2"/>
        <v>509.26542595693945</v>
      </c>
      <c r="T16" s="19">
        <f t="shared" si="2"/>
        <v>537.59776116050182</v>
      </c>
      <c r="U16" s="19">
        <f t="shared" si="2"/>
        <v>568.19873460841893</v>
      </c>
      <c r="V16" s="19">
        <f t="shared" si="2"/>
        <v>169.67535838826026</v>
      </c>
      <c r="W16" s="19">
        <f t="shared" si="2"/>
        <v>-105.33970573130915</v>
      </c>
      <c r="X16" s="19">
        <f t="shared" si="2"/>
        <v>-111.72019236173752</v>
      </c>
      <c r="Y16" s="19">
        <f t="shared" si="2"/>
        <v>-120.83492180261482</v>
      </c>
      <c r="Z16" s="19">
        <f t="shared" si="2"/>
        <v>-130.69846228329627</v>
      </c>
      <c r="AA16" s="19">
        <f t="shared" si="2"/>
        <v>-141.36167983727813</v>
      </c>
      <c r="AB16" s="19">
        <f t="shared" si="2"/>
        <v>-152.89679121428048</v>
      </c>
      <c r="AC16" s="19">
        <f t="shared" si="2"/>
        <v>-165.37092731121911</v>
      </c>
      <c r="AD16" s="19">
        <f t="shared" si="2"/>
        <v>-178.86986297922505</v>
      </c>
      <c r="AE16" s="19">
        <f t="shared" si="2"/>
        <v>-193.46321189456404</v>
      </c>
      <c r="AF16" s="19">
        <f t="shared" si="2"/>
        <v>-208.07760901338611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47.862721802909405</v>
      </c>
      <c r="D18" s="19">
        <f t="shared" ref="D18:W18" si="3">C22</f>
        <v>190.37984513283038</v>
      </c>
      <c r="E18" s="19">
        <f t="shared" si="3"/>
        <v>288.06264463996979</v>
      </c>
      <c r="F18" s="19">
        <f t="shared" si="3"/>
        <v>344.1493770092934</v>
      </c>
      <c r="G18" s="19">
        <f t="shared" si="3"/>
        <v>360.93891642349899</v>
      </c>
      <c r="H18" s="19">
        <f t="shared" si="3"/>
        <v>316.51412877147823</v>
      </c>
      <c r="I18" s="19">
        <f t="shared" si="3"/>
        <v>236.30835271965964</v>
      </c>
      <c r="J18" s="19">
        <f t="shared" si="3"/>
        <v>144.57417447344235</v>
      </c>
      <c r="K18" s="19">
        <f t="shared" si="3"/>
        <v>39.475482710908736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105.33970573130915</v>
      </c>
      <c r="Y18" s="19">
        <f t="shared" si="4"/>
        <v>217.05989809304668</v>
      </c>
      <c r="Z18" s="19">
        <f t="shared" si="4"/>
        <v>337.8948198956615</v>
      </c>
      <c r="AA18" s="19">
        <f t="shared" si="4"/>
        <v>468.59328217895779</v>
      </c>
      <c r="AB18" s="19">
        <f t="shared" si="4"/>
        <v>609.95496201623587</v>
      </c>
      <c r="AC18" s="19">
        <f t="shared" si="4"/>
        <v>762.85175323051635</v>
      </c>
      <c r="AD18" s="19">
        <f t="shared" si="4"/>
        <v>928.22268054173549</v>
      </c>
      <c r="AE18" s="19">
        <f t="shared" si="4"/>
        <v>1107.0925435209606</v>
      </c>
      <c r="AF18" s="19">
        <f t="shared" si="4"/>
        <v>1195.2160496842155</v>
      </c>
    </row>
    <row r="19" spans="1:32">
      <c r="A19" s="21" t="s">
        <v>74</v>
      </c>
      <c r="B19" s="138">
        <f>IF(B16&lt;0,-B16,0)</f>
        <v>47.862721802909405</v>
      </c>
      <c r="C19" s="138">
        <f t="shared" ref="C19:W19" si="5">IF(C16&lt;0,-C16,0)</f>
        <v>142.51712332992096</v>
      </c>
      <c r="D19" s="138">
        <f t="shared" si="5"/>
        <v>97.682799507139435</v>
      </c>
      <c r="E19" s="138">
        <f t="shared" si="5"/>
        <v>56.08673236932362</v>
      </c>
      <c r="F19" s="138">
        <f t="shared" si="5"/>
        <v>16.78953941420562</v>
      </c>
      <c r="G19" s="138">
        <f t="shared" si="5"/>
        <v>0</v>
      </c>
      <c r="H19" s="138">
        <f t="shared" si="5"/>
        <v>0</v>
      </c>
      <c r="I19" s="138">
        <f t="shared" si="5"/>
        <v>0</v>
      </c>
      <c r="J19" s="138">
        <f t="shared" si="5"/>
        <v>0</v>
      </c>
      <c r="K19" s="138">
        <f t="shared" si="5"/>
        <v>0</v>
      </c>
      <c r="L19" s="138">
        <f t="shared" si="5"/>
        <v>0</v>
      </c>
      <c r="M19" s="138">
        <f t="shared" si="5"/>
        <v>0</v>
      </c>
      <c r="N19" s="138">
        <f t="shared" si="5"/>
        <v>0</v>
      </c>
      <c r="O19" s="138">
        <f t="shared" si="5"/>
        <v>0</v>
      </c>
      <c r="P19" s="138">
        <f t="shared" si="5"/>
        <v>0</v>
      </c>
      <c r="Q19" s="138">
        <f t="shared" si="5"/>
        <v>0</v>
      </c>
      <c r="R19" s="138">
        <f t="shared" si="5"/>
        <v>0</v>
      </c>
      <c r="S19" s="138">
        <f t="shared" si="5"/>
        <v>0</v>
      </c>
      <c r="T19" s="138">
        <f t="shared" si="5"/>
        <v>0</v>
      </c>
      <c r="U19" s="138">
        <f t="shared" si="5"/>
        <v>0</v>
      </c>
      <c r="V19" s="138">
        <f t="shared" si="5"/>
        <v>0</v>
      </c>
      <c r="W19" s="138">
        <f t="shared" si="5"/>
        <v>105.33970573130915</v>
      </c>
      <c r="X19" s="138">
        <f t="shared" ref="X19:AF19" si="6">IF(X16&lt;0,-X16,0)</f>
        <v>111.72019236173752</v>
      </c>
      <c r="Y19" s="138">
        <f t="shared" si="6"/>
        <v>120.83492180261482</v>
      </c>
      <c r="Z19" s="138">
        <f t="shared" si="6"/>
        <v>130.69846228329627</v>
      </c>
      <c r="AA19" s="138">
        <f t="shared" si="6"/>
        <v>141.36167983727813</v>
      </c>
      <c r="AB19" s="138">
        <f t="shared" si="6"/>
        <v>152.89679121428048</v>
      </c>
      <c r="AC19" s="138">
        <f t="shared" si="6"/>
        <v>165.37092731121911</v>
      </c>
      <c r="AD19" s="138">
        <f t="shared" si="6"/>
        <v>178.86986297922505</v>
      </c>
      <c r="AE19" s="138">
        <f t="shared" si="6"/>
        <v>193.46321189456404</v>
      </c>
      <c r="AF19" s="138">
        <f t="shared" si="6"/>
        <v>208.07760901338611</v>
      </c>
    </row>
    <row r="20" spans="1:32">
      <c r="A20" s="13" t="s">
        <v>278</v>
      </c>
      <c r="B20" s="459">
        <v>0</v>
      </c>
      <c r="C20" s="460">
        <v>0</v>
      </c>
      <c r="D20" s="460">
        <v>0</v>
      </c>
      <c r="E20" s="460">
        <v>0</v>
      </c>
      <c r="F20" s="460">
        <v>0</v>
      </c>
      <c r="G20" s="460">
        <v>0</v>
      </c>
      <c r="H20" s="460">
        <v>0</v>
      </c>
      <c r="I20" s="461">
        <v>0</v>
      </c>
      <c r="J20" s="462">
        <f>IF(-SUM(B21:I21, B20:I20)&gt;B19,0,-B19-SUM(B21:I21,B20:I20))</f>
        <v>0</v>
      </c>
      <c r="K20" s="462">
        <f t="shared" ref="K20:AF20" si="7">IF(-SUM(C21:J21, C20:J20)&gt;C19,0,-C19-SUM(C21:J21,C20:J20))</f>
        <v>0</v>
      </c>
      <c r="L20" s="462">
        <f t="shared" si="7"/>
        <v>0</v>
      </c>
      <c r="M20" s="462">
        <f t="shared" si="7"/>
        <v>0</v>
      </c>
      <c r="N20" s="462">
        <f t="shared" si="7"/>
        <v>0</v>
      </c>
      <c r="O20" s="462">
        <f t="shared" si="7"/>
        <v>0</v>
      </c>
      <c r="P20" s="462">
        <f t="shared" si="7"/>
        <v>0</v>
      </c>
      <c r="Q20" s="462">
        <f t="shared" si="7"/>
        <v>0</v>
      </c>
      <c r="R20" s="462">
        <f t="shared" si="7"/>
        <v>0</v>
      </c>
      <c r="S20" s="462">
        <f t="shared" si="7"/>
        <v>0</v>
      </c>
      <c r="T20" s="462">
        <f t="shared" si="7"/>
        <v>0</v>
      </c>
      <c r="U20" s="462">
        <f t="shared" si="7"/>
        <v>0</v>
      </c>
      <c r="V20" s="462">
        <f t="shared" si="7"/>
        <v>0</v>
      </c>
      <c r="W20" s="462">
        <f t="shared" si="7"/>
        <v>0</v>
      </c>
      <c r="X20" s="462">
        <f t="shared" si="7"/>
        <v>0</v>
      </c>
      <c r="Y20" s="462">
        <f t="shared" si="7"/>
        <v>0</v>
      </c>
      <c r="Z20" s="462">
        <f t="shared" si="7"/>
        <v>0</v>
      </c>
      <c r="AA20" s="462">
        <f t="shared" si="7"/>
        <v>0</v>
      </c>
      <c r="AB20" s="462">
        <f t="shared" si="7"/>
        <v>0</v>
      </c>
      <c r="AC20" s="462">
        <f t="shared" si="7"/>
        <v>0</v>
      </c>
      <c r="AD20" s="462">
        <f t="shared" si="7"/>
        <v>0</v>
      </c>
      <c r="AE20" s="462">
        <f t="shared" si="7"/>
        <v>-105.33970573130915</v>
      </c>
      <c r="AF20" s="462">
        <f t="shared" si="7"/>
        <v>-6.3804866304283649</v>
      </c>
    </row>
    <row r="21" spans="1:32">
      <c r="A21" s="13" t="s">
        <v>277</v>
      </c>
      <c r="B21" s="131">
        <f>IF(B16&lt;0,0,IF(B18&gt;B16,-B16,-B18))</f>
        <v>0</v>
      </c>
      <c r="C21" s="131">
        <f t="shared" ref="C21:V21" si="8">IF(C16&lt;0,0,IF(C18&gt;C16,-C16,-C18))</f>
        <v>0</v>
      </c>
      <c r="D21" s="131">
        <f t="shared" si="8"/>
        <v>0</v>
      </c>
      <c r="E21" s="131">
        <f t="shared" si="8"/>
        <v>0</v>
      </c>
      <c r="F21" s="131">
        <f t="shared" si="8"/>
        <v>0</v>
      </c>
      <c r="G21" s="131">
        <f t="shared" si="8"/>
        <v>-44.424787652020761</v>
      </c>
      <c r="H21" s="131">
        <f t="shared" si="8"/>
        <v>-80.205776051818603</v>
      </c>
      <c r="I21" s="131">
        <f t="shared" si="8"/>
        <v>-91.734178246217283</v>
      </c>
      <c r="J21" s="131">
        <f t="shared" si="8"/>
        <v>-105.09869176253362</v>
      </c>
      <c r="K21" s="131">
        <f t="shared" si="8"/>
        <v>-39.475482710908736</v>
      </c>
      <c r="L21" s="131">
        <f t="shared" si="8"/>
        <v>0</v>
      </c>
      <c r="M21" s="131">
        <f t="shared" si="8"/>
        <v>0</v>
      </c>
      <c r="N21" s="131">
        <f t="shared" si="8"/>
        <v>0</v>
      </c>
      <c r="O21" s="131">
        <f t="shared" si="8"/>
        <v>0</v>
      </c>
      <c r="P21" s="131">
        <f t="shared" si="8"/>
        <v>0</v>
      </c>
      <c r="Q21" s="131">
        <f t="shared" si="8"/>
        <v>0</v>
      </c>
      <c r="R21" s="131">
        <f t="shared" si="8"/>
        <v>0</v>
      </c>
      <c r="S21" s="131">
        <f t="shared" si="8"/>
        <v>0</v>
      </c>
      <c r="T21" s="131">
        <f t="shared" si="8"/>
        <v>0</v>
      </c>
      <c r="U21" s="131">
        <f t="shared" si="8"/>
        <v>0</v>
      </c>
      <c r="V21" s="131">
        <f t="shared" si="8"/>
        <v>0</v>
      </c>
      <c r="W21" s="131">
        <f>IF(W16&lt;0,0,IF(W18&gt;W16,-W16,-W18))</f>
        <v>0</v>
      </c>
      <c r="X21" s="131">
        <f t="shared" ref="X21:AF21" si="9">IF(X16&lt;0,0,IF(X18&gt;X16,-X16,-X18))</f>
        <v>0</v>
      </c>
      <c r="Y21" s="131">
        <f t="shared" si="9"/>
        <v>0</v>
      </c>
      <c r="Z21" s="131">
        <f t="shared" si="9"/>
        <v>0</v>
      </c>
      <c r="AA21" s="131">
        <f t="shared" si="9"/>
        <v>0</v>
      </c>
      <c r="AB21" s="131">
        <f t="shared" si="9"/>
        <v>0</v>
      </c>
      <c r="AC21" s="131">
        <f t="shared" si="9"/>
        <v>0</v>
      </c>
      <c r="AD21" s="131">
        <f t="shared" si="9"/>
        <v>0</v>
      </c>
      <c r="AE21" s="131">
        <f t="shared" si="9"/>
        <v>0</v>
      </c>
      <c r="AF21" s="131">
        <f t="shared" si="9"/>
        <v>0</v>
      </c>
    </row>
    <row r="22" spans="1:32">
      <c r="A22" s="13" t="s">
        <v>75</v>
      </c>
      <c r="B22" s="131">
        <f t="shared" ref="B22:AF22" si="10">SUM(B18:B21)</f>
        <v>47.862721802909405</v>
      </c>
      <c r="C22" s="131">
        <f t="shared" si="10"/>
        <v>190.37984513283038</v>
      </c>
      <c r="D22" s="131">
        <f t="shared" si="10"/>
        <v>288.06264463996979</v>
      </c>
      <c r="E22" s="131">
        <f t="shared" si="10"/>
        <v>344.1493770092934</v>
      </c>
      <c r="F22" s="131">
        <f t="shared" si="10"/>
        <v>360.93891642349899</v>
      </c>
      <c r="G22" s="131">
        <f t="shared" si="10"/>
        <v>316.51412877147823</v>
      </c>
      <c r="H22" s="131">
        <f t="shared" si="10"/>
        <v>236.30835271965964</v>
      </c>
      <c r="I22" s="131">
        <f t="shared" si="10"/>
        <v>144.57417447344235</v>
      </c>
      <c r="J22" s="131">
        <f t="shared" si="10"/>
        <v>39.475482710908736</v>
      </c>
      <c r="K22" s="131">
        <f t="shared" si="10"/>
        <v>0</v>
      </c>
      <c r="L22" s="131">
        <f t="shared" si="10"/>
        <v>0</v>
      </c>
      <c r="M22" s="131">
        <f t="shared" si="10"/>
        <v>0</v>
      </c>
      <c r="N22" s="131">
        <f t="shared" si="10"/>
        <v>0</v>
      </c>
      <c r="O22" s="131">
        <f t="shared" si="10"/>
        <v>0</v>
      </c>
      <c r="P22" s="131">
        <f t="shared" si="10"/>
        <v>0</v>
      </c>
      <c r="Q22" s="131">
        <f t="shared" si="10"/>
        <v>0</v>
      </c>
      <c r="R22" s="131">
        <f t="shared" si="10"/>
        <v>0</v>
      </c>
      <c r="S22" s="131">
        <f t="shared" si="10"/>
        <v>0</v>
      </c>
      <c r="T22" s="131">
        <f t="shared" si="10"/>
        <v>0</v>
      </c>
      <c r="U22" s="131">
        <f t="shared" si="10"/>
        <v>0</v>
      </c>
      <c r="V22" s="131">
        <f t="shared" si="10"/>
        <v>0</v>
      </c>
      <c r="W22" s="131">
        <f t="shared" si="10"/>
        <v>105.33970573130915</v>
      </c>
      <c r="X22" s="131">
        <f t="shared" si="10"/>
        <v>217.05989809304668</v>
      </c>
      <c r="Y22" s="131">
        <f t="shared" si="10"/>
        <v>337.8948198956615</v>
      </c>
      <c r="Z22" s="131">
        <f t="shared" si="10"/>
        <v>468.59328217895779</v>
      </c>
      <c r="AA22" s="131">
        <f t="shared" si="10"/>
        <v>609.95496201623587</v>
      </c>
      <c r="AB22" s="131">
        <f t="shared" si="10"/>
        <v>762.85175323051635</v>
      </c>
      <c r="AC22" s="131">
        <f t="shared" si="10"/>
        <v>928.22268054173549</v>
      </c>
      <c r="AD22" s="131">
        <f t="shared" si="10"/>
        <v>1107.0925435209606</v>
      </c>
      <c r="AE22" s="131">
        <f t="shared" si="10"/>
        <v>1195.2160496842155</v>
      </c>
      <c r="AF22" s="131">
        <f t="shared" si="10"/>
        <v>1396.9131720671733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204</v>
      </c>
      <c r="B24" s="135">
        <f>IF(B13&lt;0,0,B21+B16)</f>
        <v>0</v>
      </c>
      <c r="C24" s="135">
        <f t="shared" ref="C24:AF24" si="11">IF(C13&lt;0,0,C21+C16)</f>
        <v>0</v>
      </c>
      <c r="D24" s="135">
        <f t="shared" si="11"/>
        <v>0</v>
      </c>
      <c r="E24" s="135">
        <f t="shared" si="11"/>
        <v>0</v>
      </c>
      <c r="F24" s="135">
        <f t="shared" si="11"/>
        <v>0</v>
      </c>
      <c r="G24" s="135">
        <f t="shared" si="11"/>
        <v>0</v>
      </c>
      <c r="H24" s="135">
        <f t="shared" si="11"/>
        <v>0</v>
      </c>
      <c r="I24" s="135">
        <f t="shared" si="11"/>
        <v>0</v>
      </c>
      <c r="J24" s="135">
        <f t="shared" si="11"/>
        <v>0</v>
      </c>
      <c r="K24" s="135">
        <f t="shared" si="11"/>
        <v>79.212942564193</v>
      </c>
      <c r="L24" s="135">
        <f t="shared" si="11"/>
        <v>134.20262624800739</v>
      </c>
      <c r="M24" s="135">
        <f t="shared" si="11"/>
        <v>150.13637961298289</v>
      </c>
      <c r="N24" s="135">
        <f t="shared" si="11"/>
        <v>168.26816130598567</v>
      </c>
      <c r="O24" s="135">
        <f t="shared" si="11"/>
        <v>187.01166468503803</v>
      </c>
      <c r="P24" s="135">
        <f t="shared" si="11"/>
        <v>208.10104117324886</v>
      </c>
      <c r="Q24" s="135">
        <f t="shared" si="11"/>
        <v>344.63169550981888</v>
      </c>
      <c r="R24" s="135">
        <f t="shared" si="11"/>
        <v>483.0815793107522</v>
      </c>
      <c r="S24" s="135">
        <f t="shared" si="11"/>
        <v>509.26542595693945</v>
      </c>
      <c r="T24" s="135">
        <f t="shared" si="11"/>
        <v>537.59776116050182</v>
      </c>
      <c r="U24" s="135">
        <f t="shared" si="11"/>
        <v>568.19873460841893</v>
      </c>
      <c r="V24" s="135">
        <f t="shared" si="11"/>
        <v>169.67535838826026</v>
      </c>
      <c r="W24" s="135">
        <f t="shared" si="11"/>
        <v>0</v>
      </c>
      <c r="X24" s="135">
        <f t="shared" si="11"/>
        <v>0</v>
      </c>
      <c r="Y24" s="135">
        <f t="shared" si="11"/>
        <v>0</v>
      </c>
      <c r="Z24" s="135">
        <f t="shared" si="11"/>
        <v>0</v>
      </c>
      <c r="AA24" s="135">
        <f t="shared" si="11"/>
        <v>0</v>
      </c>
      <c r="AB24" s="135">
        <f t="shared" si="11"/>
        <v>0</v>
      </c>
      <c r="AC24" s="135">
        <f t="shared" si="11"/>
        <v>0</v>
      </c>
      <c r="AD24" s="135">
        <f t="shared" si="11"/>
        <v>0</v>
      </c>
      <c r="AE24" s="135">
        <f t="shared" si="11"/>
        <v>0</v>
      </c>
      <c r="AF24" s="135">
        <f t="shared" si="11"/>
        <v>0</v>
      </c>
    </row>
    <row r="25" spans="1:32">
      <c r="A25" s="4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7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-683.75316861299143</v>
      </c>
      <c r="C28" s="19">
        <f t="shared" ref="C28:AF28" si="12">C13</f>
        <v>-2035.9589047131562</v>
      </c>
      <c r="D28" s="19">
        <f t="shared" si="12"/>
        <v>-1395.468564387706</v>
      </c>
      <c r="E28" s="19">
        <f t="shared" si="12"/>
        <v>-801.23903384748019</v>
      </c>
      <c r="F28" s="19">
        <f t="shared" si="12"/>
        <v>-239.85056306008028</v>
      </c>
      <c r="G28" s="19">
        <f t="shared" si="12"/>
        <v>634.63982360029649</v>
      </c>
      <c r="H28" s="19">
        <f t="shared" si="12"/>
        <v>1145.7968007402656</v>
      </c>
      <c r="I28" s="19">
        <f t="shared" si="12"/>
        <v>1310.4882606602469</v>
      </c>
      <c r="J28" s="19">
        <f t="shared" si="12"/>
        <v>1501.4098823219088</v>
      </c>
      <c r="K28" s="19">
        <f t="shared" si="12"/>
        <v>1695.5489325014532</v>
      </c>
      <c r="L28" s="19">
        <f t="shared" si="12"/>
        <v>1917.1803749715341</v>
      </c>
      <c r="M28" s="19">
        <f t="shared" si="12"/>
        <v>2144.8054230426123</v>
      </c>
      <c r="N28" s="19">
        <f t="shared" si="12"/>
        <v>2403.8308757997952</v>
      </c>
      <c r="O28" s="19">
        <f t="shared" si="12"/>
        <v>2671.5952097862573</v>
      </c>
      <c r="P28" s="19">
        <f t="shared" si="12"/>
        <v>2972.8720167606975</v>
      </c>
      <c r="Q28" s="19">
        <f t="shared" si="12"/>
        <v>4923.3099358545551</v>
      </c>
      <c r="R28" s="19">
        <f t="shared" si="12"/>
        <v>6901.1654187250306</v>
      </c>
      <c r="S28" s="19">
        <f t="shared" si="12"/>
        <v>7275.2203708134202</v>
      </c>
      <c r="T28" s="19">
        <f t="shared" si="12"/>
        <v>7679.9680165785967</v>
      </c>
      <c r="U28" s="19">
        <f t="shared" si="12"/>
        <v>8117.124780120269</v>
      </c>
      <c r="V28" s="19">
        <f t="shared" si="12"/>
        <v>2423.9336912608605</v>
      </c>
      <c r="W28" s="19">
        <f t="shared" si="12"/>
        <v>-1504.852939018702</v>
      </c>
      <c r="X28" s="19">
        <f t="shared" si="12"/>
        <v>-1596.0027480248216</v>
      </c>
      <c r="Y28" s="19">
        <f t="shared" si="12"/>
        <v>-1726.213168608783</v>
      </c>
      <c r="Z28" s="19">
        <f t="shared" si="12"/>
        <v>-1867.1208897613749</v>
      </c>
      <c r="AA28" s="19">
        <f t="shared" si="12"/>
        <v>-2019.4525691039732</v>
      </c>
      <c r="AB28" s="19">
        <f t="shared" si="12"/>
        <v>-2184.2398744897209</v>
      </c>
      <c r="AC28" s="19">
        <f t="shared" si="12"/>
        <v>-2362.4418187317015</v>
      </c>
      <c r="AD28" s="19">
        <f t="shared" si="12"/>
        <v>-2555.2837568460718</v>
      </c>
      <c r="AE28" s="19">
        <f t="shared" si="12"/>
        <v>-2763.7601699223433</v>
      </c>
      <c r="AF28" s="19">
        <f t="shared" si="12"/>
        <v>-2972.5372716198012</v>
      </c>
    </row>
    <row r="29" spans="1:32" ht="15">
      <c r="A29" s="21" t="s">
        <v>77</v>
      </c>
      <c r="B29" s="133">
        <f>-B24</f>
        <v>0</v>
      </c>
      <c r="C29" s="133">
        <f t="shared" ref="C29:AF29" si="13">-C24</f>
        <v>0</v>
      </c>
      <c r="D29" s="133">
        <f t="shared" si="13"/>
        <v>0</v>
      </c>
      <c r="E29" s="133">
        <f t="shared" si="13"/>
        <v>0</v>
      </c>
      <c r="F29" s="133">
        <f t="shared" si="13"/>
        <v>0</v>
      </c>
      <c r="G29" s="133">
        <f t="shared" si="13"/>
        <v>0</v>
      </c>
      <c r="H29" s="133">
        <f t="shared" si="13"/>
        <v>0</v>
      </c>
      <c r="I29" s="133">
        <f t="shared" si="13"/>
        <v>0</v>
      </c>
      <c r="J29" s="133">
        <f t="shared" si="13"/>
        <v>0</v>
      </c>
      <c r="K29" s="133">
        <f t="shared" si="13"/>
        <v>-79.212942564193</v>
      </c>
      <c r="L29" s="133">
        <f t="shared" si="13"/>
        <v>-134.20262624800739</v>
      </c>
      <c r="M29" s="133">
        <f t="shared" si="13"/>
        <v>-150.13637961298289</v>
      </c>
      <c r="N29" s="133">
        <f t="shared" si="13"/>
        <v>-168.26816130598567</v>
      </c>
      <c r="O29" s="133">
        <f t="shared" si="13"/>
        <v>-187.01166468503803</v>
      </c>
      <c r="P29" s="133">
        <f t="shared" si="13"/>
        <v>-208.10104117324886</v>
      </c>
      <c r="Q29" s="133">
        <f t="shared" si="13"/>
        <v>-344.63169550981888</v>
      </c>
      <c r="R29" s="133">
        <f t="shared" si="13"/>
        <v>-483.0815793107522</v>
      </c>
      <c r="S29" s="133">
        <f t="shared" si="13"/>
        <v>-509.26542595693945</v>
      </c>
      <c r="T29" s="133">
        <f t="shared" si="13"/>
        <v>-537.59776116050182</v>
      </c>
      <c r="U29" s="133">
        <f t="shared" si="13"/>
        <v>-568.19873460841893</v>
      </c>
      <c r="V29" s="133">
        <f t="shared" si="13"/>
        <v>-169.67535838826026</v>
      </c>
      <c r="W29" s="133">
        <f t="shared" si="13"/>
        <v>0</v>
      </c>
      <c r="X29" s="133">
        <f t="shared" si="13"/>
        <v>0</v>
      </c>
      <c r="Y29" s="133">
        <f t="shared" si="13"/>
        <v>0</v>
      </c>
      <c r="Z29" s="133">
        <f t="shared" si="13"/>
        <v>0</v>
      </c>
      <c r="AA29" s="133">
        <f t="shared" si="13"/>
        <v>0</v>
      </c>
      <c r="AB29" s="133">
        <f t="shared" si="13"/>
        <v>0</v>
      </c>
      <c r="AC29" s="133">
        <f t="shared" si="13"/>
        <v>0</v>
      </c>
      <c r="AD29" s="133">
        <f t="shared" si="13"/>
        <v>0</v>
      </c>
      <c r="AE29" s="133">
        <f t="shared" si="13"/>
        <v>0</v>
      </c>
      <c r="AF29" s="133">
        <f t="shared" si="13"/>
        <v>0</v>
      </c>
    </row>
    <row r="30" spans="1:32">
      <c r="A30" s="128" t="s">
        <v>203</v>
      </c>
      <c r="B30" s="44">
        <f t="shared" ref="B30:AF30" si="14">SUM(B28:B29)</f>
        <v>-683.75316861299143</v>
      </c>
      <c r="C30" s="44">
        <f t="shared" si="14"/>
        <v>-2035.9589047131562</v>
      </c>
      <c r="D30" s="44">
        <f t="shared" si="14"/>
        <v>-1395.468564387706</v>
      </c>
      <c r="E30" s="44">
        <f t="shared" si="14"/>
        <v>-801.23903384748019</v>
      </c>
      <c r="F30" s="44">
        <f t="shared" si="14"/>
        <v>-239.85056306008028</v>
      </c>
      <c r="G30" s="44">
        <f t="shared" si="14"/>
        <v>634.63982360029649</v>
      </c>
      <c r="H30" s="44">
        <f t="shared" si="14"/>
        <v>1145.7968007402656</v>
      </c>
      <c r="I30" s="44">
        <f t="shared" si="14"/>
        <v>1310.4882606602469</v>
      </c>
      <c r="J30" s="44">
        <f t="shared" si="14"/>
        <v>1501.4098823219088</v>
      </c>
      <c r="K30" s="44">
        <f t="shared" si="14"/>
        <v>1616.3359899372601</v>
      </c>
      <c r="L30" s="44">
        <f t="shared" si="14"/>
        <v>1782.9777487235267</v>
      </c>
      <c r="M30" s="44">
        <f t="shared" si="14"/>
        <v>1994.6690434296295</v>
      </c>
      <c r="N30" s="44">
        <f t="shared" si="14"/>
        <v>2235.5627144938094</v>
      </c>
      <c r="O30" s="44">
        <f t="shared" si="14"/>
        <v>2484.5835451012194</v>
      </c>
      <c r="P30" s="44">
        <f t="shared" si="14"/>
        <v>2764.7709755874484</v>
      </c>
      <c r="Q30" s="44">
        <f t="shared" si="14"/>
        <v>4578.678240344736</v>
      </c>
      <c r="R30" s="44">
        <f t="shared" si="14"/>
        <v>6418.0838394142784</v>
      </c>
      <c r="S30" s="44">
        <f t="shared" si="14"/>
        <v>6765.9549448564812</v>
      </c>
      <c r="T30" s="44">
        <f t="shared" si="14"/>
        <v>7142.3702554180945</v>
      </c>
      <c r="U30" s="44">
        <f t="shared" si="14"/>
        <v>7548.9260455118501</v>
      </c>
      <c r="V30" s="44">
        <f t="shared" si="14"/>
        <v>2254.2583328726005</v>
      </c>
      <c r="W30" s="44">
        <f t="shared" si="14"/>
        <v>-1504.852939018702</v>
      </c>
      <c r="X30" s="44">
        <f t="shared" si="14"/>
        <v>-1596.0027480248216</v>
      </c>
      <c r="Y30" s="44">
        <f t="shared" si="14"/>
        <v>-1726.213168608783</v>
      </c>
      <c r="Z30" s="44">
        <f t="shared" si="14"/>
        <v>-1867.1208897613749</v>
      </c>
      <c r="AA30" s="44">
        <f t="shared" si="14"/>
        <v>-2019.4525691039732</v>
      </c>
      <c r="AB30" s="44">
        <f t="shared" si="14"/>
        <v>-2184.2398744897209</v>
      </c>
      <c r="AC30" s="44">
        <f t="shared" si="14"/>
        <v>-2362.4418187317015</v>
      </c>
      <c r="AD30" s="44">
        <f t="shared" si="14"/>
        <v>-2555.2837568460718</v>
      </c>
      <c r="AE30" s="44">
        <f t="shared" si="14"/>
        <v>-2763.7601699223433</v>
      </c>
      <c r="AF30" s="44">
        <f t="shared" si="14"/>
        <v>-2972.5372716198012</v>
      </c>
    </row>
    <row r="31" spans="1:32">
      <c r="A31" s="128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4">
        <f>Assumptions!$N$50</f>
        <v>0.35</v>
      </c>
      <c r="C32" s="134">
        <f>Assumptions!$N$50</f>
        <v>0.35</v>
      </c>
      <c r="D32" s="134">
        <f>Assumptions!$N$50</f>
        <v>0.35</v>
      </c>
      <c r="E32" s="134">
        <f>Assumptions!$N$50</f>
        <v>0.35</v>
      </c>
      <c r="F32" s="134">
        <f>Assumptions!$N$50</f>
        <v>0.35</v>
      </c>
      <c r="G32" s="134">
        <f>Assumptions!$N$50</f>
        <v>0.35</v>
      </c>
      <c r="H32" s="134">
        <f>Assumptions!$N$50</f>
        <v>0.35</v>
      </c>
      <c r="I32" s="134">
        <f>Assumptions!$N$50</f>
        <v>0.35</v>
      </c>
      <c r="J32" s="134">
        <f>Assumptions!$N$50</f>
        <v>0.35</v>
      </c>
      <c r="K32" s="134">
        <f>Assumptions!$N$50</f>
        <v>0.35</v>
      </c>
      <c r="L32" s="134">
        <f>Assumptions!$N$50</f>
        <v>0.35</v>
      </c>
      <c r="M32" s="134">
        <f>Assumptions!$N$50</f>
        <v>0.35</v>
      </c>
      <c r="N32" s="134">
        <f>Assumptions!$N$50</f>
        <v>0.35</v>
      </c>
      <c r="O32" s="134">
        <f>Assumptions!$N$50</f>
        <v>0.35</v>
      </c>
      <c r="P32" s="134">
        <f>Assumptions!$N$50</f>
        <v>0.35</v>
      </c>
      <c r="Q32" s="134">
        <f>Assumptions!$N$50</f>
        <v>0.35</v>
      </c>
      <c r="R32" s="134">
        <f>Assumptions!$N$50</f>
        <v>0.35</v>
      </c>
      <c r="S32" s="134">
        <f>Assumptions!$N$50</f>
        <v>0.35</v>
      </c>
      <c r="T32" s="134">
        <f>Assumptions!$N$50</f>
        <v>0.35</v>
      </c>
      <c r="U32" s="134">
        <f>Assumptions!$N$50</f>
        <v>0.35</v>
      </c>
      <c r="V32" s="134">
        <f>Assumptions!$N$50</f>
        <v>0.35</v>
      </c>
      <c r="W32" s="134">
        <f>Assumptions!$N$50</f>
        <v>0.35</v>
      </c>
      <c r="X32" s="134">
        <f>Assumptions!$N$50</f>
        <v>0.35</v>
      </c>
      <c r="Y32" s="134">
        <f>Assumptions!$N$50</f>
        <v>0.35</v>
      </c>
      <c r="Z32" s="134">
        <f>Assumptions!$N$50</f>
        <v>0.35</v>
      </c>
      <c r="AA32" s="134">
        <f>Assumptions!$N$50</f>
        <v>0.35</v>
      </c>
      <c r="AB32" s="134">
        <f>Assumptions!$N$50</f>
        <v>0.35</v>
      </c>
      <c r="AC32" s="134">
        <f>Assumptions!$N$50</f>
        <v>0.35</v>
      </c>
      <c r="AD32" s="134">
        <f>Assumptions!$N$50</f>
        <v>0.35</v>
      </c>
      <c r="AE32" s="134">
        <f>Assumptions!$N$50</f>
        <v>0.35</v>
      </c>
      <c r="AF32" s="134">
        <f>Assumptions!$N$50</f>
        <v>0.35</v>
      </c>
    </row>
    <row r="33" spans="1:32">
      <c r="A33" s="21" t="s">
        <v>79</v>
      </c>
      <c r="B33" s="19">
        <f>B30*B32</f>
        <v>-239.31360901454698</v>
      </c>
      <c r="C33" s="19">
        <f t="shared" ref="C33:W33" si="15">C30*C32</f>
        <v>-712.58561664960462</v>
      </c>
      <c r="D33" s="19">
        <f t="shared" si="15"/>
        <v>-488.41399753569709</v>
      </c>
      <c r="E33" s="19">
        <f t="shared" si="15"/>
        <v>-280.43366184661807</v>
      </c>
      <c r="F33" s="19">
        <f t="shared" si="15"/>
        <v>-83.947697071028088</v>
      </c>
      <c r="G33" s="19">
        <f t="shared" si="15"/>
        <v>222.12393826010376</v>
      </c>
      <c r="H33" s="19">
        <f t="shared" si="15"/>
        <v>401.02888025909294</v>
      </c>
      <c r="I33" s="19">
        <f t="shared" si="15"/>
        <v>458.67089123108639</v>
      </c>
      <c r="J33" s="19">
        <f t="shared" si="15"/>
        <v>525.493458812668</v>
      </c>
      <c r="K33" s="19">
        <f t="shared" si="15"/>
        <v>565.71759647804106</v>
      </c>
      <c r="L33" s="19">
        <f t="shared" si="15"/>
        <v>624.04221205323427</v>
      </c>
      <c r="M33" s="19">
        <f t="shared" si="15"/>
        <v>698.13416520037026</v>
      </c>
      <c r="N33" s="19">
        <f t="shared" si="15"/>
        <v>782.44695007283326</v>
      </c>
      <c r="O33" s="19">
        <f t="shared" si="15"/>
        <v>869.60424078542678</v>
      </c>
      <c r="P33" s="19">
        <f t="shared" si="15"/>
        <v>967.66984145560684</v>
      </c>
      <c r="Q33" s="19">
        <f t="shared" si="15"/>
        <v>1602.5373841206574</v>
      </c>
      <c r="R33" s="19">
        <f t="shared" si="15"/>
        <v>2246.3293437949974</v>
      </c>
      <c r="S33" s="19">
        <f t="shared" si="15"/>
        <v>2368.0842306997683</v>
      </c>
      <c r="T33" s="19">
        <f t="shared" si="15"/>
        <v>2499.8295893963327</v>
      </c>
      <c r="U33" s="19">
        <f t="shared" si="15"/>
        <v>2642.1241159291476</v>
      </c>
      <c r="V33" s="19">
        <f t="shared" si="15"/>
        <v>788.99041650541017</v>
      </c>
      <c r="W33" s="19">
        <f t="shared" si="15"/>
        <v>-526.6985286565457</v>
      </c>
      <c r="X33" s="19">
        <f t="shared" ref="X33:AF33" si="16">X30*X32</f>
        <v>-558.60096180868754</v>
      </c>
      <c r="Y33" s="19">
        <f t="shared" si="16"/>
        <v>-604.17460901307402</v>
      </c>
      <c r="Z33" s="19">
        <f t="shared" si="16"/>
        <v>-653.49231141648113</v>
      </c>
      <c r="AA33" s="19">
        <f t="shared" si="16"/>
        <v>-706.8083991863906</v>
      </c>
      <c r="AB33" s="19">
        <f t="shared" si="16"/>
        <v>-764.4839560714023</v>
      </c>
      <c r="AC33" s="19">
        <f t="shared" si="16"/>
        <v>-826.85463655609544</v>
      </c>
      <c r="AD33" s="19">
        <f t="shared" si="16"/>
        <v>-894.34931489612507</v>
      </c>
      <c r="AE33" s="19">
        <f t="shared" si="16"/>
        <v>-967.31605947282003</v>
      </c>
      <c r="AF33" s="19">
        <f t="shared" si="16"/>
        <v>-1040.3880450669303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239.31360901454698</v>
      </c>
      <c r="D35" s="19">
        <f t="shared" si="17"/>
        <v>951.89922566415157</v>
      </c>
      <c r="E35" s="19">
        <f t="shared" si="17"/>
        <v>1440.3132231998486</v>
      </c>
      <c r="F35" s="19">
        <f t="shared" si="17"/>
        <v>1720.7468850464666</v>
      </c>
      <c r="G35" s="19">
        <f t="shared" si="17"/>
        <v>1804.6945821174947</v>
      </c>
      <c r="H35" s="19">
        <f t="shared" si="17"/>
        <v>1582.5706438573909</v>
      </c>
      <c r="I35" s="19">
        <f t="shared" si="17"/>
        <v>1181.5417635982981</v>
      </c>
      <c r="J35" s="19">
        <f t="shared" si="17"/>
        <v>722.87087236721163</v>
      </c>
      <c r="K35" s="19">
        <f t="shared" si="17"/>
        <v>197.37741355454364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526.6985286565457</v>
      </c>
      <c r="Y35" s="19">
        <f t="shared" si="18"/>
        <v>1085.2994904652332</v>
      </c>
      <c r="Z35" s="19">
        <f t="shared" si="18"/>
        <v>1689.4740994783074</v>
      </c>
      <c r="AA35" s="19">
        <f t="shared" si="18"/>
        <v>2342.9664108947886</v>
      </c>
      <c r="AB35" s="19">
        <f t="shared" si="18"/>
        <v>3049.7748100811791</v>
      </c>
      <c r="AC35" s="19">
        <f t="shared" si="18"/>
        <v>3814.2587661525813</v>
      </c>
      <c r="AD35" s="19">
        <f t="shared" si="18"/>
        <v>4641.1134027086764</v>
      </c>
      <c r="AE35" s="19">
        <f t="shared" si="18"/>
        <v>5535.4627176048016</v>
      </c>
      <c r="AF35" s="19">
        <f t="shared" si="18"/>
        <v>6502.7787770776213</v>
      </c>
    </row>
    <row r="36" spans="1:32">
      <c r="A36" s="21" t="s">
        <v>74</v>
      </c>
      <c r="B36" s="138">
        <f>IF(B33&lt;0,-B33,0)</f>
        <v>239.31360901454698</v>
      </c>
      <c r="C36" s="138">
        <f t="shared" ref="C36:AF36" si="19">IF(C33&lt;0,-C33,0)</f>
        <v>712.58561664960462</v>
      </c>
      <c r="D36" s="138">
        <f t="shared" si="19"/>
        <v>488.41399753569709</v>
      </c>
      <c r="E36" s="138">
        <f t="shared" si="19"/>
        <v>280.43366184661807</v>
      </c>
      <c r="F36" s="138">
        <f t="shared" si="19"/>
        <v>83.947697071028088</v>
      </c>
      <c r="G36" s="138">
        <f t="shared" si="19"/>
        <v>0</v>
      </c>
      <c r="H36" s="138">
        <f t="shared" si="19"/>
        <v>0</v>
      </c>
      <c r="I36" s="138">
        <f t="shared" si="19"/>
        <v>0</v>
      </c>
      <c r="J36" s="138">
        <f t="shared" si="19"/>
        <v>0</v>
      </c>
      <c r="K36" s="138">
        <f t="shared" si="19"/>
        <v>0</v>
      </c>
      <c r="L36" s="138">
        <f t="shared" si="19"/>
        <v>0</v>
      </c>
      <c r="M36" s="138">
        <f t="shared" si="19"/>
        <v>0</v>
      </c>
      <c r="N36" s="138">
        <f t="shared" si="19"/>
        <v>0</v>
      </c>
      <c r="O36" s="138">
        <f t="shared" si="19"/>
        <v>0</v>
      </c>
      <c r="P36" s="138">
        <f t="shared" si="19"/>
        <v>0</v>
      </c>
      <c r="Q36" s="138">
        <f t="shared" si="19"/>
        <v>0</v>
      </c>
      <c r="R36" s="138">
        <f t="shared" si="19"/>
        <v>0</v>
      </c>
      <c r="S36" s="138">
        <f t="shared" si="19"/>
        <v>0</v>
      </c>
      <c r="T36" s="138">
        <f t="shared" si="19"/>
        <v>0</v>
      </c>
      <c r="U36" s="138">
        <f t="shared" si="19"/>
        <v>0</v>
      </c>
      <c r="V36" s="138">
        <f t="shared" si="19"/>
        <v>0</v>
      </c>
      <c r="W36" s="138">
        <f t="shared" si="19"/>
        <v>526.6985286565457</v>
      </c>
      <c r="X36" s="138">
        <f t="shared" si="19"/>
        <v>558.60096180868754</v>
      </c>
      <c r="Y36" s="138">
        <f t="shared" si="19"/>
        <v>604.17460901307402</v>
      </c>
      <c r="Z36" s="138">
        <f t="shared" si="19"/>
        <v>653.49231141648113</v>
      </c>
      <c r="AA36" s="138">
        <f t="shared" si="19"/>
        <v>706.8083991863906</v>
      </c>
      <c r="AB36" s="138">
        <f t="shared" si="19"/>
        <v>764.4839560714023</v>
      </c>
      <c r="AC36" s="138">
        <f t="shared" si="19"/>
        <v>826.85463655609544</v>
      </c>
      <c r="AD36" s="138">
        <f t="shared" si="19"/>
        <v>894.34931489612507</v>
      </c>
      <c r="AE36" s="138">
        <f t="shared" si="19"/>
        <v>967.31605947282003</v>
      </c>
      <c r="AF36" s="138">
        <f t="shared" si="19"/>
        <v>1040.3880450669303</v>
      </c>
    </row>
    <row r="37" spans="1:32">
      <c r="A37" s="13" t="s">
        <v>278</v>
      </c>
      <c r="B37" s="459">
        <v>0</v>
      </c>
      <c r="C37" s="460">
        <v>0</v>
      </c>
      <c r="D37" s="460">
        <v>0</v>
      </c>
      <c r="E37" s="460">
        <v>0</v>
      </c>
      <c r="F37" s="460">
        <v>0</v>
      </c>
      <c r="G37" s="460">
        <v>0</v>
      </c>
      <c r="H37" s="460">
        <v>0</v>
      </c>
      <c r="I37" s="460">
        <v>0</v>
      </c>
      <c r="J37" s="460">
        <v>0</v>
      </c>
      <c r="K37" s="460">
        <v>0</v>
      </c>
      <c r="L37" s="460">
        <v>0</v>
      </c>
      <c r="M37" s="460">
        <v>0</v>
      </c>
      <c r="N37" s="460">
        <v>0</v>
      </c>
      <c r="O37" s="460">
        <v>0</v>
      </c>
      <c r="P37" s="461">
        <v>0</v>
      </c>
      <c r="Q37" s="462">
        <f>IF(-SUM(B38:P38, B37:P37)&gt;B36,0,-B36-SUM(B38:P38,B37:P37))</f>
        <v>0</v>
      </c>
      <c r="R37" s="462">
        <f t="shared" ref="R37:AF37" si="20">IF(-SUM(C38:Q38, C37:Q37)&gt;C36,0,-C36-SUM(C38:Q38,C37:Q37))</f>
        <v>0</v>
      </c>
      <c r="S37" s="462">
        <f t="shared" si="20"/>
        <v>0</v>
      </c>
      <c r="T37" s="462">
        <f t="shared" si="20"/>
        <v>0</v>
      </c>
      <c r="U37" s="462">
        <f t="shared" si="20"/>
        <v>0</v>
      </c>
      <c r="V37" s="462">
        <f t="shared" si="20"/>
        <v>0</v>
      </c>
      <c r="W37" s="462">
        <f t="shared" si="20"/>
        <v>0</v>
      </c>
      <c r="X37" s="462">
        <f t="shared" si="20"/>
        <v>0</v>
      </c>
      <c r="Y37" s="462">
        <f t="shared" si="20"/>
        <v>0</v>
      </c>
      <c r="Z37" s="462">
        <f t="shared" si="20"/>
        <v>0</v>
      </c>
      <c r="AA37" s="462">
        <f t="shared" si="20"/>
        <v>0</v>
      </c>
      <c r="AB37" s="462">
        <f t="shared" si="20"/>
        <v>0</v>
      </c>
      <c r="AC37" s="462">
        <f t="shared" si="20"/>
        <v>0</v>
      </c>
      <c r="AD37" s="462">
        <f t="shared" si="20"/>
        <v>0</v>
      </c>
      <c r="AE37" s="462">
        <f t="shared" si="20"/>
        <v>0</v>
      </c>
      <c r="AF37" s="462">
        <f t="shared" si="20"/>
        <v>0</v>
      </c>
    </row>
    <row r="38" spans="1:32">
      <c r="A38" s="13" t="s">
        <v>279</v>
      </c>
      <c r="B38" s="131">
        <f>IF(B33&lt;0,0,IF(B35&gt;B33,-B33,-B35))</f>
        <v>0</v>
      </c>
      <c r="C38" s="131">
        <f t="shared" ref="C38:V38" si="21">IF(C33&lt;0,0,IF(C35&gt;C33,-C33,-C35))</f>
        <v>0</v>
      </c>
      <c r="D38" s="131">
        <f t="shared" si="21"/>
        <v>0</v>
      </c>
      <c r="E38" s="131">
        <f t="shared" si="21"/>
        <v>0</v>
      </c>
      <c r="F38" s="131">
        <f t="shared" si="21"/>
        <v>0</v>
      </c>
      <c r="G38" s="131">
        <f t="shared" si="21"/>
        <v>-222.12393826010376</v>
      </c>
      <c r="H38" s="131">
        <f t="shared" si="21"/>
        <v>-401.02888025909294</v>
      </c>
      <c r="I38" s="131">
        <f t="shared" si="21"/>
        <v>-458.67089123108639</v>
      </c>
      <c r="J38" s="131">
        <f t="shared" si="21"/>
        <v>-525.493458812668</v>
      </c>
      <c r="K38" s="131">
        <f t="shared" si="21"/>
        <v>-197.37741355454364</v>
      </c>
      <c r="L38" s="131">
        <f t="shared" si="21"/>
        <v>0</v>
      </c>
      <c r="M38" s="131">
        <f t="shared" si="21"/>
        <v>0</v>
      </c>
      <c r="N38" s="131">
        <f t="shared" si="21"/>
        <v>0</v>
      </c>
      <c r="O38" s="131">
        <f t="shared" si="21"/>
        <v>0</v>
      </c>
      <c r="P38" s="131">
        <f t="shared" si="21"/>
        <v>0</v>
      </c>
      <c r="Q38" s="131">
        <f t="shared" si="21"/>
        <v>0</v>
      </c>
      <c r="R38" s="131">
        <f t="shared" si="21"/>
        <v>0</v>
      </c>
      <c r="S38" s="131">
        <f t="shared" si="21"/>
        <v>0</v>
      </c>
      <c r="T38" s="131">
        <f t="shared" si="21"/>
        <v>0</v>
      </c>
      <c r="U38" s="131">
        <f t="shared" si="21"/>
        <v>0</v>
      </c>
      <c r="V38" s="131">
        <f t="shared" si="21"/>
        <v>0</v>
      </c>
      <c r="W38" s="131">
        <f>IF(W33&lt;0,0,IF(W35&gt;W33,-W33,-W35))</f>
        <v>0</v>
      </c>
      <c r="X38" s="131">
        <f t="shared" ref="X38:AF38" si="22">IF(X33&lt;0,0,IF(X35&gt;X33,-X33,-X35))</f>
        <v>0</v>
      </c>
      <c r="Y38" s="131">
        <f t="shared" si="22"/>
        <v>0</v>
      </c>
      <c r="Z38" s="131">
        <f t="shared" si="22"/>
        <v>0</v>
      </c>
      <c r="AA38" s="131">
        <f t="shared" si="22"/>
        <v>0</v>
      </c>
      <c r="AB38" s="131">
        <f t="shared" si="22"/>
        <v>0</v>
      </c>
      <c r="AC38" s="131">
        <f t="shared" si="22"/>
        <v>0</v>
      </c>
      <c r="AD38" s="131">
        <f t="shared" si="22"/>
        <v>0</v>
      </c>
      <c r="AE38" s="131">
        <f t="shared" si="22"/>
        <v>0</v>
      </c>
      <c r="AF38" s="131">
        <f t="shared" si="22"/>
        <v>0</v>
      </c>
    </row>
    <row r="39" spans="1:32">
      <c r="A39" s="13" t="s">
        <v>75</v>
      </c>
      <c r="B39" s="131">
        <f t="shared" ref="B39:AF39" si="23">SUM(B35:B38)</f>
        <v>239.31360901454698</v>
      </c>
      <c r="C39" s="131">
        <f t="shared" si="23"/>
        <v>951.89922566415157</v>
      </c>
      <c r="D39" s="131">
        <f t="shared" si="23"/>
        <v>1440.3132231998486</v>
      </c>
      <c r="E39" s="131">
        <f t="shared" si="23"/>
        <v>1720.7468850464666</v>
      </c>
      <c r="F39" s="131">
        <f t="shared" si="23"/>
        <v>1804.6945821174947</v>
      </c>
      <c r="G39" s="131">
        <f t="shared" si="23"/>
        <v>1582.5706438573909</v>
      </c>
      <c r="H39" s="131">
        <f t="shared" si="23"/>
        <v>1181.5417635982981</v>
      </c>
      <c r="I39" s="131">
        <f t="shared" si="23"/>
        <v>722.87087236721163</v>
      </c>
      <c r="J39" s="131">
        <f t="shared" si="23"/>
        <v>197.37741355454364</v>
      </c>
      <c r="K39" s="131">
        <f t="shared" si="23"/>
        <v>0</v>
      </c>
      <c r="L39" s="131">
        <f t="shared" si="23"/>
        <v>0</v>
      </c>
      <c r="M39" s="131">
        <f t="shared" si="23"/>
        <v>0</v>
      </c>
      <c r="N39" s="131">
        <f t="shared" si="23"/>
        <v>0</v>
      </c>
      <c r="O39" s="131">
        <f t="shared" si="23"/>
        <v>0</v>
      </c>
      <c r="P39" s="131">
        <f t="shared" si="23"/>
        <v>0</v>
      </c>
      <c r="Q39" s="131">
        <f t="shared" si="23"/>
        <v>0</v>
      </c>
      <c r="R39" s="131">
        <f t="shared" si="23"/>
        <v>0</v>
      </c>
      <c r="S39" s="131">
        <f t="shared" si="23"/>
        <v>0</v>
      </c>
      <c r="T39" s="131">
        <f t="shared" si="23"/>
        <v>0</v>
      </c>
      <c r="U39" s="131">
        <f t="shared" si="23"/>
        <v>0</v>
      </c>
      <c r="V39" s="131">
        <f t="shared" si="23"/>
        <v>0</v>
      </c>
      <c r="W39" s="131">
        <f t="shared" si="23"/>
        <v>526.6985286565457</v>
      </c>
      <c r="X39" s="131">
        <f t="shared" si="23"/>
        <v>1085.2994904652332</v>
      </c>
      <c r="Y39" s="131">
        <f t="shared" si="23"/>
        <v>1689.4740994783074</v>
      </c>
      <c r="Z39" s="131">
        <f t="shared" si="23"/>
        <v>2342.9664108947886</v>
      </c>
      <c r="AA39" s="131">
        <f t="shared" si="23"/>
        <v>3049.7748100811791</v>
      </c>
      <c r="AB39" s="131">
        <f t="shared" si="23"/>
        <v>3814.2587661525813</v>
      </c>
      <c r="AC39" s="131">
        <f t="shared" si="23"/>
        <v>4641.1134027086764</v>
      </c>
      <c r="AD39" s="131">
        <f t="shared" si="23"/>
        <v>5535.4627176048016</v>
      </c>
      <c r="AE39" s="131">
        <f t="shared" si="23"/>
        <v>6502.7787770776213</v>
      </c>
      <c r="AF39" s="131">
        <f t="shared" si="23"/>
        <v>7543.1668221445516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204</v>
      </c>
      <c r="B41" s="135">
        <f>IF(B30&lt;0,0,B38+B33)</f>
        <v>0</v>
      </c>
      <c r="C41" s="135">
        <f t="shared" ref="C41:AF41" si="24">IF(C30&lt;0,0,C38+C33)</f>
        <v>0</v>
      </c>
      <c r="D41" s="135">
        <f t="shared" si="24"/>
        <v>0</v>
      </c>
      <c r="E41" s="135">
        <f t="shared" si="24"/>
        <v>0</v>
      </c>
      <c r="F41" s="135">
        <f t="shared" si="24"/>
        <v>0</v>
      </c>
      <c r="G41" s="135">
        <f t="shared" si="24"/>
        <v>0</v>
      </c>
      <c r="H41" s="135">
        <f t="shared" si="24"/>
        <v>0</v>
      </c>
      <c r="I41" s="135">
        <f t="shared" si="24"/>
        <v>0</v>
      </c>
      <c r="J41" s="135">
        <f t="shared" si="24"/>
        <v>0</v>
      </c>
      <c r="K41" s="135">
        <f t="shared" si="24"/>
        <v>368.34018292349742</v>
      </c>
      <c r="L41" s="135">
        <f t="shared" si="24"/>
        <v>624.04221205323427</v>
      </c>
      <c r="M41" s="135">
        <f t="shared" si="24"/>
        <v>698.13416520037026</v>
      </c>
      <c r="N41" s="135">
        <f t="shared" si="24"/>
        <v>782.44695007283326</v>
      </c>
      <c r="O41" s="135">
        <f t="shared" si="24"/>
        <v>869.60424078542678</v>
      </c>
      <c r="P41" s="135">
        <f t="shared" si="24"/>
        <v>967.66984145560684</v>
      </c>
      <c r="Q41" s="135">
        <f t="shared" si="24"/>
        <v>1602.5373841206574</v>
      </c>
      <c r="R41" s="135">
        <f t="shared" si="24"/>
        <v>2246.3293437949974</v>
      </c>
      <c r="S41" s="135">
        <f t="shared" si="24"/>
        <v>2368.0842306997683</v>
      </c>
      <c r="T41" s="135">
        <f t="shared" si="24"/>
        <v>2499.8295893963327</v>
      </c>
      <c r="U41" s="135">
        <f t="shared" si="24"/>
        <v>2642.1241159291476</v>
      </c>
      <c r="V41" s="135">
        <f t="shared" si="24"/>
        <v>788.99041650541017</v>
      </c>
      <c r="W41" s="135">
        <f t="shared" si="24"/>
        <v>0</v>
      </c>
      <c r="X41" s="135">
        <f t="shared" si="24"/>
        <v>0</v>
      </c>
      <c r="Y41" s="135">
        <f t="shared" si="24"/>
        <v>0</v>
      </c>
      <c r="Z41" s="135">
        <f t="shared" si="24"/>
        <v>0</v>
      </c>
      <c r="AA41" s="135">
        <f t="shared" si="24"/>
        <v>0</v>
      </c>
      <c r="AB41" s="135">
        <f t="shared" si="24"/>
        <v>0</v>
      </c>
      <c r="AC41" s="135">
        <f t="shared" si="24"/>
        <v>0</v>
      </c>
      <c r="AD41" s="135">
        <f t="shared" si="24"/>
        <v>0</v>
      </c>
      <c r="AE41" s="135">
        <f t="shared" si="24"/>
        <v>0</v>
      </c>
      <c r="AF41" s="135">
        <f t="shared" si="24"/>
        <v>0</v>
      </c>
    </row>
    <row r="42" spans="1:32">
      <c r="A42" s="43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CIPCO</v>
      </c>
    </row>
    <row r="4" spans="1:25" ht="18.75">
      <c r="A4" s="61" t="s">
        <v>181</v>
      </c>
      <c r="B4" s="212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338</v>
      </c>
      <c r="B6" s="229"/>
      <c r="C6" s="436">
        <f>Assumptions!C24+Assumptions!C25</f>
        <v>1368.93</v>
      </c>
      <c r="D6" s="230"/>
      <c r="E6" s="230"/>
      <c r="F6" s="230"/>
      <c r="G6" s="230"/>
      <c r="H6" s="230"/>
      <c r="I6" s="231"/>
      <c r="J6" s="230"/>
      <c r="K6" s="230"/>
      <c r="L6" s="230"/>
      <c r="M6" s="230"/>
      <c r="N6" s="230"/>
      <c r="O6" s="231"/>
      <c r="P6" s="230"/>
      <c r="Q6" s="230"/>
      <c r="R6" s="230"/>
      <c r="S6" s="230"/>
      <c r="T6" s="230"/>
      <c r="U6" s="231"/>
      <c r="V6" s="230"/>
      <c r="W6" s="230"/>
      <c r="X6" s="233"/>
      <c r="Y6" s="233"/>
    </row>
    <row r="7" spans="1:25">
      <c r="A7" s="63" t="s">
        <v>188</v>
      </c>
      <c r="B7" s="229"/>
      <c r="C7" s="445">
        <f>Assumptions!H17</f>
        <v>7</v>
      </c>
      <c r="D7" s="230"/>
      <c r="E7" s="230"/>
      <c r="F7" s="230"/>
      <c r="G7" s="230"/>
      <c r="H7" s="230"/>
      <c r="I7" s="231"/>
      <c r="J7" s="230"/>
      <c r="K7" s="230"/>
      <c r="L7" s="230"/>
      <c r="M7" s="230"/>
      <c r="N7" s="230"/>
      <c r="O7" s="231"/>
      <c r="P7" s="230"/>
      <c r="Q7" s="230"/>
      <c r="R7" s="230"/>
      <c r="S7" s="230"/>
      <c r="T7" s="230"/>
      <c r="U7" s="231"/>
      <c r="V7" s="230"/>
      <c r="W7" s="230"/>
      <c r="X7" s="233"/>
      <c r="Y7" s="233"/>
    </row>
    <row r="8" spans="1:25">
      <c r="A8" s="63" t="s">
        <v>186</v>
      </c>
      <c r="B8" s="229"/>
      <c r="C8" s="518">
        <f>Assumptions!H40</f>
        <v>0.08</v>
      </c>
      <c r="D8" s="238">
        <f>C8/360</f>
        <v>2.2222222222222223E-4</v>
      </c>
      <c r="E8" s="230"/>
      <c r="F8" s="230"/>
      <c r="G8" s="230"/>
      <c r="H8" s="230"/>
      <c r="I8" s="231"/>
      <c r="J8" s="230"/>
      <c r="K8" s="230"/>
      <c r="L8" s="230"/>
      <c r="M8" s="230"/>
      <c r="N8" s="230"/>
      <c r="O8" s="231"/>
      <c r="P8" s="230"/>
      <c r="Q8" s="230"/>
      <c r="R8" s="230"/>
      <c r="S8" s="230"/>
      <c r="T8" s="230"/>
      <c r="U8" s="231"/>
      <c r="V8" s="230"/>
      <c r="W8" s="230"/>
      <c r="X8" s="233"/>
      <c r="Y8" s="233"/>
    </row>
    <row r="9" spans="1:25">
      <c r="A9" s="63"/>
      <c r="B9" s="229"/>
      <c r="C9" s="237" t="s">
        <v>187</v>
      </c>
      <c r="D9" s="237" t="s">
        <v>222</v>
      </c>
      <c r="E9" s="230"/>
      <c r="F9" s="230"/>
      <c r="G9" s="230"/>
      <c r="H9" s="230"/>
      <c r="I9" s="231"/>
      <c r="J9" s="230"/>
      <c r="K9" s="230"/>
      <c r="L9" s="230"/>
      <c r="M9" s="230"/>
      <c r="N9" s="230"/>
      <c r="O9" s="231"/>
      <c r="P9" s="230"/>
      <c r="Q9" s="230"/>
      <c r="R9" s="230"/>
      <c r="S9" s="230"/>
      <c r="T9" s="230"/>
      <c r="U9" s="231"/>
      <c r="V9" s="230"/>
      <c r="W9" s="230"/>
      <c r="X9" s="233"/>
      <c r="Y9" s="233"/>
    </row>
    <row r="10" spans="1:25">
      <c r="A10" s="63"/>
      <c r="B10" s="229"/>
      <c r="C10" s="237"/>
      <c r="D10" s="237"/>
      <c r="E10" s="230"/>
      <c r="F10" s="230"/>
      <c r="G10" s="230"/>
      <c r="H10" s="230"/>
      <c r="I10" s="231"/>
      <c r="J10" s="230"/>
      <c r="K10" s="230"/>
      <c r="L10" s="230"/>
      <c r="M10" s="230"/>
      <c r="N10" s="230"/>
      <c r="O10" s="231"/>
      <c r="P10" s="230"/>
      <c r="Q10" s="230"/>
      <c r="R10" s="230"/>
      <c r="S10" s="230"/>
      <c r="T10" s="230"/>
      <c r="U10" s="231"/>
      <c r="V10" s="230"/>
      <c r="W10" s="230"/>
      <c r="X10" s="233"/>
      <c r="Y10" s="233"/>
    </row>
    <row r="11" spans="1:25">
      <c r="A11" s="63"/>
      <c r="B11" s="229"/>
      <c r="C11" s="237"/>
      <c r="D11" s="237"/>
      <c r="E11" s="230"/>
      <c r="F11" s="230"/>
      <c r="G11" s="230"/>
      <c r="H11" s="230"/>
      <c r="I11" s="231"/>
      <c r="J11" s="230"/>
      <c r="K11" s="230"/>
      <c r="L11" s="230"/>
      <c r="M11" s="230"/>
      <c r="N11" s="230"/>
      <c r="O11" s="231"/>
      <c r="P11" s="230"/>
      <c r="Q11" s="230"/>
      <c r="R11" s="230"/>
      <c r="S11" s="230"/>
      <c r="T11" s="230"/>
      <c r="U11" s="231"/>
      <c r="V11" s="230"/>
      <c r="W11" s="230"/>
      <c r="X11" s="233"/>
      <c r="Y11" s="233"/>
    </row>
    <row r="12" spans="1:25">
      <c r="A12" s="5"/>
      <c r="B12" s="226"/>
      <c r="C12" s="226"/>
      <c r="D12" s="227" t="s">
        <v>175</v>
      </c>
      <c r="E12" s="225" t="s">
        <v>182</v>
      </c>
      <c r="F12" s="226"/>
      <c r="G12" s="226"/>
      <c r="H12" s="226"/>
      <c r="I12" s="226"/>
      <c r="J12" s="221"/>
    </row>
    <row r="13" spans="1:25">
      <c r="A13" s="225" t="s">
        <v>172</v>
      </c>
      <c r="B13" s="5"/>
      <c r="C13" s="5"/>
      <c r="D13" s="227" t="s">
        <v>183</v>
      </c>
      <c r="E13" s="227" t="s">
        <v>176</v>
      </c>
      <c r="F13" s="227" t="s">
        <v>177</v>
      </c>
      <c r="G13" s="232" t="s">
        <v>178</v>
      </c>
      <c r="H13" s="227" t="s">
        <v>179</v>
      </c>
      <c r="I13" s="227" t="s">
        <v>180</v>
      </c>
      <c r="J13" s="66"/>
    </row>
    <row r="14" spans="1:25">
      <c r="A14" s="222" t="s">
        <v>173</v>
      </c>
      <c r="B14" s="222" t="s">
        <v>126</v>
      </c>
      <c r="C14" s="222" t="s">
        <v>174</v>
      </c>
      <c r="D14" s="222" t="s">
        <v>185</v>
      </c>
      <c r="E14" s="222" t="s">
        <v>185</v>
      </c>
      <c r="F14" s="222" t="s">
        <v>185</v>
      </c>
      <c r="G14" s="222" t="s">
        <v>185</v>
      </c>
      <c r="H14" s="222" t="s">
        <v>185</v>
      </c>
      <c r="I14" s="222" t="s">
        <v>185</v>
      </c>
      <c r="J14" s="66"/>
    </row>
    <row r="15" spans="1:25">
      <c r="A15" s="223">
        <v>1</v>
      </c>
      <c r="B15" s="224">
        <v>36617</v>
      </c>
      <c r="C15" s="263">
        <f>HLOOKUP(Assumptions!$H$12,IDC!$I$40:$M$56,2+F42)</f>
        <v>0.17</v>
      </c>
      <c r="D15" s="234">
        <f>D59*Assumptions!H12</f>
        <v>28520.899214663415</v>
      </c>
      <c r="E15" s="235">
        <f t="shared" ref="E15:E33" si="0">C15*$C$6</f>
        <v>232.71810000000002</v>
      </c>
      <c r="F15" s="235">
        <f t="shared" ref="F15:F33" si="1">+E15+D15</f>
        <v>28753.617314663414</v>
      </c>
      <c r="G15" s="235">
        <f>F15+H15</f>
        <v>28753.617314663414</v>
      </c>
      <c r="H15" s="235">
        <v>0</v>
      </c>
      <c r="I15" s="235">
        <v>0</v>
      </c>
      <c r="K15" s="434"/>
    </row>
    <row r="16" spans="1:25">
      <c r="A16" s="223">
        <f t="shared" ref="A16:A33" si="2">A15+1</f>
        <v>2</v>
      </c>
      <c r="B16" s="224">
        <v>36647</v>
      </c>
      <c r="C16" s="263">
        <f>HLOOKUP(Assumptions!$H$12,IDC!$I$40:$M$56,2+F43)</f>
        <v>0.16</v>
      </c>
      <c r="D16" s="234">
        <v>0</v>
      </c>
      <c r="E16" s="235">
        <f t="shared" si="0"/>
        <v>219.02880000000002</v>
      </c>
      <c r="F16" s="235">
        <f t="shared" si="1"/>
        <v>219.02880000000002</v>
      </c>
      <c r="G16" s="235">
        <f t="shared" ref="G16:G33" si="3">F16+G15+H16</f>
        <v>29164.336896761171</v>
      </c>
      <c r="H16" s="235">
        <f>IF(A16&gt;$C$7+1,0,G15*(B16-B15)*$D$8)</f>
        <v>191.69078209775608</v>
      </c>
      <c r="I16" s="235">
        <f>IF(A16&lt;=$C$7+1,H16+I15,I15)</f>
        <v>191.69078209775608</v>
      </c>
      <c r="K16" s="434"/>
    </row>
    <row r="17" spans="1:11">
      <c r="A17" s="223">
        <f t="shared" si="2"/>
        <v>3</v>
      </c>
      <c r="B17" s="224">
        <v>36678</v>
      </c>
      <c r="C17" s="263">
        <f>HLOOKUP(Assumptions!$H$12,IDC!$I$40:$M$56,2+F44)</f>
        <v>0.16</v>
      </c>
      <c r="D17" s="234">
        <v>0</v>
      </c>
      <c r="E17" s="235">
        <f t="shared" si="0"/>
        <v>219.02880000000002</v>
      </c>
      <c r="F17" s="235">
        <f t="shared" si="1"/>
        <v>219.02880000000002</v>
      </c>
      <c r="G17" s="235">
        <f t="shared" si="3"/>
        <v>29584.275573161081</v>
      </c>
      <c r="H17" s="235">
        <f t="shared" ref="H17:H33" si="4">IF(A17&gt;$C$7+1,0,G16*(B17-B16)*$D$8)</f>
        <v>200.9098763999103</v>
      </c>
      <c r="I17" s="235">
        <f t="shared" ref="I17:I33" si="5">IF(A17&lt;=$C$7+1,H17+I16,I16)</f>
        <v>392.60065849766636</v>
      </c>
      <c r="K17" s="434"/>
    </row>
    <row r="18" spans="1:11">
      <c r="A18" s="223">
        <f t="shared" si="2"/>
        <v>4</v>
      </c>
      <c r="B18" s="224">
        <v>36708</v>
      </c>
      <c r="C18" s="263">
        <f>HLOOKUP(Assumptions!$H$12,IDC!$I$40:$M$56,2+F45)</f>
        <v>0.16</v>
      </c>
      <c r="D18" s="234">
        <v>0</v>
      </c>
      <c r="E18" s="235">
        <f t="shared" si="0"/>
        <v>219.02880000000002</v>
      </c>
      <c r="F18" s="235">
        <f t="shared" si="1"/>
        <v>219.02880000000002</v>
      </c>
      <c r="G18" s="235">
        <f t="shared" si="3"/>
        <v>30000.532876982154</v>
      </c>
      <c r="H18" s="235">
        <f t="shared" si="4"/>
        <v>197.22850382107387</v>
      </c>
      <c r="I18" s="235">
        <f t="shared" si="5"/>
        <v>589.82916231874026</v>
      </c>
      <c r="K18" s="434"/>
    </row>
    <row r="19" spans="1:11">
      <c r="A19" s="223">
        <f t="shared" si="2"/>
        <v>5</v>
      </c>
      <c r="B19" s="224">
        <v>36739</v>
      </c>
      <c r="C19" s="263">
        <f>HLOOKUP(Assumptions!$H$12,IDC!$I$40:$M$56,2+F46)</f>
        <v>0.17</v>
      </c>
      <c r="D19" s="234">
        <v>0</v>
      </c>
      <c r="E19" s="235">
        <f t="shared" si="0"/>
        <v>232.71810000000002</v>
      </c>
      <c r="F19" s="235">
        <f t="shared" si="1"/>
        <v>232.71810000000002</v>
      </c>
      <c r="G19" s="235">
        <f t="shared" si="3"/>
        <v>30439.92131457914</v>
      </c>
      <c r="H19" s="235">
        <f t="shared" si="4"/>
        <v>206.67033759698819</v>
      </c>
      <c r="I19" s="235">
        <f t="shared" si="5"/>
        <v>796.49949991572839</v>
      </c>
      <c r="K19" s="434"/>
    </row>
    <row r="20" spans="1:11">
      <c r="A20" s="223">
        <f t="shared" si="2"/>
        <v>6</v>
      </c>
      <c r="B20" s="224">
        <v>36770</v>
      </c>
      <c r="C20" s="263">
        <f>HLOOKUP(Assumptions!$H$12,IDC!$I$40:$M$56,2+F47)</f>
        <v>0.18</v>
      </c>
      <c r="D20" s="234">
        <v>0</v>
      </c>
      <c r="E20" s="235">
        <f t="shared" si="0"/>
        <v>246.4074</v>
      </c>
      <c r="F20" s="235">
        <f t="shared" si="1"/>
        <v>246.4074</v>
      </c>
      <c r="G20" s="235">
        <f t="shared" si="3"/>
        <v>30896.025950301795</v>
      </c>
      <c r="H20" s="235">
        <f t="shared" si="4"/>
        <v>209.69723572265633</v>
      </c>
      <c r="I20" s="235">
        <f t="shared" si="5"/>
        <v>1006.1967356383848</v>
      </c>
      <c r="K20" s="434"/>
    </row>
    <row r="21" spans="1:11">
      <c r="A21" s="223">
        <f t="shared" si="2"/>
        <v>7</v>
      </c>
      <c r="B21" s="224">
        <v>36800</v>
      </c>
      <c r="C21" s="263">
        <f>HLOOKUP(Assumptions!$H$12,IDC!$I$40:$M$56,2+F48)</f>
        <v>0</v>
      </c>
      <c r="D21" s="234">
        <v>0</v>
      </c>
      <c r="E21" s="235">
        <f t="shared" si="0"/>
        <v>0</v>
      </c>
      <c r="F21" s="235">
        <f t="shared" si="1"/>
        <v>0</v>
      </c>
      <c r="G21" s="235">
        <f t="shared" si="3"/>
        <v>31101.999456637139</v>
      </c>
      <c r="H21" s="235">
        <f t="shared" si="4"/>
        <v>205.97350633534532</v>
      </c>
      <c r="I21" s="235">
        <f t="shared" si="5"/>
        <v>1212.1702419737301</v>
      </c>
      <c r="K21" s="434"/>
    </row>
    <row r="22" spans="1:11">
      <c r="A22" s="223">
        <f t="shared" si="2"/>
        <v>8</v>
      </c>
      <c r="B22" s="224">
        <v>36831</v>
      </c>
      <c r="C22" s="263">
        <f>HLOOKUP(Assumptions!$H$12,IDC!$I$40:$M$56,2+F49)</f>
        <v>0</v>
      </c>
      <c r="D22" s="234">
        <v>0</v>
      </c>
      <c r="E22" s="235">
        <f t="shared" si="0"/>
        <v>0</v>
      </c>
      <c r="F22" s="235">
        <f t="shared" si="1"/>
        <v>0</v>
      </c>
      <c r="G22" s="235">
        <f t="shared" si="3"/>
        <v>31316.257675116194</v>
      </c>
      <c r="H22" s="235">
        <f t="shared" si="4"/>
        <v>214.25821847905584</v>
      </c>
      <c r="I22" s="235">
        <f t="shared" si="5"/>
        <v>1426.4284604527859</v>
      </c>
      <c r="K22" s="434"/>
    </row>
    <row r="23" spans="1:11">
      <c r="A23" s="223">
        <f t="shared" si="2"/>
        <v>9</v>
      </c>
      <c r="B23" s="224">
        <v>36861</v>
      </c>
      <c r="C23" s="263">
        <f>HLOOKUP(Assumptions!$H$12,IDC!$I$40:$M$56,2+F50)</f>
        <v>0</v>
      </c>
      <c r="D23" s="234">
        <v>0</v>
      </c>
      <c r="E23" s="235">
        <f t="shared" si="0"/>
        <v>0</v>
      </c>
      <c r="F23" s="235">
        <f t="shared" si="1"/>
        <v>0</v>
      </c>
      <c r="G23" s="235">
        <f t="shared" si="3"/>
        <v>31316.257675116194</v>
      </c>
      <c r="H23" s="235">
        <f t="shared" si="4"/>
        <v>0</v>
      </c>
      <c r="I23" s="235">
        <f t="shared" si="5"/>
        <v>1426.4284604527859</v>
      </c>
      <c r="K23" s="434"/>
    </row>
    <row r="24" spans="1:11">
      <c r="A24" s="223">
        <f t="shared" si="2"/>
        <v>10</v>
      </c>
      <c r="B24" s="224">
        <v>36892</v>
      </c>
      <c r="C24" s="263">
        <f>HLOOKUP(Assumptions!$H$12,IDC!$I$40:$M$56,2+F51)</f>
        <v>0</v>
      </c>
      <c r="D24" s="234">
        <v>0</v>
      </c>
      <c r="E24" s="235">
        <f t="shared" si="0"/>
        <v>0</v>
      </c>
      <c r="F24" s="235">
        <f t="shared" si="1"/>
        <v>0</v>
      </c>
      <c r="G24" s="235">
        <f t="shared" si="3"/>
        <v>31316.257675116194</v>
      </c>
      <c r="H24" s="235">
        <f t="shared" si="4"/>
        <v>0</v>
      </c>
      <c r="I24" s="235">
        <f t="shared" si="5"/>
        <v>1426.4284604527859</v>
      </c>
      <c r="K24" s="434"/>
    </row>
    <row r="25" spans="1:11">
      <c r="A25" s="223">
        <f t="shared" si="2"/>
        <v>11</v>
      </c>
      <c r="B25" s="224">
        <v>36923</v>
      </c>
      <c r="C25" s="263">
        <f>HLOOKUP(Assumptions!$H$12,IDC!$I$40:$M$56,2+F52)</f>
        <v>0</v>
      </c>
      <c r="D25" s="234">
        <v>0</v>
      </c>
      <c r="E25" s="235">
        <f t="shared" si="0"/>
        <v>0</v>
      </c>
      <c r="F25" s="235">
        <f t="shared" si="1"/>
        <v>0</v>
      </c>
      <c r="G25" s="235">
        <f t="shared" si="3"/>
        <v>31316.257675116194</v>
      </c>
      <c r="H25" s="235">
        <f t="shared" si="4"/>
        <v>0</v>
      </c>
      <c r="I25" s="235">
        <f t="shared" si="5"/>
        <v>1426.4284604527859</v>
      </c>
      <c r="K25" s="434"/>
    </row>
    <row r="26" spans="1:11">
      <c r="A26" s="223">
        <f t="shared" si="2"/>
        <v>12</v>
      </c>
      <c r="B26" s="224">
        <v>36951</v>
      </c>
      <c r="C26" s="263">
        <f>HLOOKUP(Assumptions!$H$12,IDC!$I$40:$M$56,2+F53)</f>
        <v>0</v>
      </c>
      <c r="D26" s="234">
        <v>0</v>
      </c>
      <c r="E26" s="235">
        <f t="shared" si="0"/>
        <v>0</v>
      </c>
      <c r="F26" s="235">
        <f t="shared" si="1"/>
        <v>0</v>
      </c>
      <c r="G26" s="235">
        <f t="shared" si="3"/>
        <v>31316.257675116194</v>
      </c>
      <c r="H26" s="235">
        <f t="shared" si="4"/>
        <v>0</v>
      </c>
      <c r="I26" s="235">
        <f t="shared" si="5"/>
        <v>1426.4284604527859</v>
      </c>
      <c r="K26" s="434"/>
    </row>
    <row r="27" spans="1:11">
      <c r="A27" s="223">
        <f t="shared" si="2"/>
        <v>13</v>
      </c>
      <c r="B27" s="224">
        <v>36982</v>
      </c>
      <c r="C27" s="263">
        <f>HLOOKUP(Assumptions!$H$12,IDC!$I$40:$M$56,2+F54)</f>
        <v>0</v>
      </c>
      <c r="D27" s="234">
        <v>0</v>
      </c>
      <c r="E27" s="235">
        <f t="shared" si="0"/>
        <v>0</v>
      </c>
      <c r="F27" s="235">
        <f t="shared" si="1"/>
        <v>0</v>
      </c>
      <c r="G27" s="235">
        <f t="shared" si="3"/>
        <v>31316.257675116194</v>
      </c>
      <c r="H27" s="235">
        <f t="shared" si="4"/>
        <v>0</v>
      </c>
      <c r="I27" s="235">
        <f t="shared" si="5"/>
        <v>1426.4284604527859</v>
      </c>
      <c r="K27" s="434"/>
    </row>
    <row r="28" spans="1:11">
      <c r="A28" s="223">
        <f t="shared" si="2"/>
        <v>14</v>
      </c>
      <c r="B28" s="224">
        <v>37012</v>
      </c>
      <c r="C28" s="263">
        <f>HLOOKUP(Assumptions!$H$12,IDC!$I$40:$M$56,2+F55)</f>
        <v>0</v>
      </c>
      <c r="D28" s="234">
        <v>0</v>
      </c>
      <c r="E28" s="235">
        <f t="shared" si="0"/>
        <v>0</v>
      </c>
      <c r="F28" s="235">
        <f t="shared" si="1"/>
        <v>0</v>
      </c>
      <c r="G28" s="235">
        <f t="shared" si="3"/>
        <v>31316.257675116194</v>
      </c>
      <c r="H28" s="235">
        <f t="shared" si="4"/>
        <v>0</v>
      </c>
      <c r="I28" s="235">
        <f t="shared" si="5"/>
        <v>1426.4284604527859</v>
      </c>
      <c r="K28" s="434"/>
    </row>
    <row r="29" spans="1:11">
      <c r="A29" s="223">
        <f t="shared" si="2"/>
        <v>15</v>
      </c>
      <c r="B29" s="224">
        <v>37043</v>
      </c>
      <c r="C29" s="263">
        <f>HLOOKUP(Assumptions!$H$12,IDC!$I$40:$M$56,2+F56)</f>
        <v>0</v>
      </c>
      <c r="D29" s="234">
        <v>0</v>
      </c>
      <c r="E29" s="235">
        <f t="shared" si="0"/>
        <v>0</v>
      </c>
      <c r="F29" s="235">
        <f t="shared" si="1"/>
        <v>0</v>
      </c>
      <c r="G29" s="235">
        <f t="shared" si="3"/>
        <v>31316.257675116194</v>
      </c>
      <c r="H29" s="235">
        <f t="shared" si="4"/>
        <v>0</v>
      </c>
      <c r="I29" s="235">
        <f t="shared" si="5"/>
        <v>1426.4284604527859</v>
      </c>
      <c r="K29" s="434"/>
    </row>
    <row r="30" spans="1:11">
      <c r="A30" s="223">
        <f t="shared" si="2"/>
        <v>16</v>
      </c>
      <c r="B30" s="224">
        <v>37073</v>
      </c>
      <c r="C30" s="263">
        <v>0</v>
      </c>
      <c r="D30" s="234">
        <v>0</v>
      </c>
      <c r="E30" s="235">
        <f t="shared" si="0"/>
        <v>0</v>
      </c>
      <c r="F30" s="235">
        <f t="shared" si="1"/>
        <v>0</v>
      </c>
      <c r="G30" s="235">
        <f t="shared" si="3"/>
        <v>31316.257675116194</v>
      </c>
      <c r="H30" s="235">
        <f t="shared" si="4"/>
        <v>0</v>
      </c>
      <c r="I30" s="235">
        <f t="shared" si="5"/>
        <v>1426.4284604527859</v>
      </c>
      <c r="K30" s="434"/>
    </row>
    <row r="31" spans="1:11">
      <c r="A31" s="223">
        <f t="shared" si="2"/>
        <v>17</v>
      </c>
      <c r="B31" s="224">
        <v>37104</v>
      </c>
      <c r="C31" s="263">
        <v>0</v>
      </c>
      <c r="D31" s="234">
        <v>0</v>
      </c>
      <c r="E31" s="235">
        <f t="shared" si="0"/>
        <v>0</v>
      </c>
      <c r="F31" s="235">
        <f t="shared" si="1"/>
        <v>0</v>
      </c>
      <c r="G31" s="235">
        <f t="shared" si="3"/>
        <v>31316.257675116194</v>
      </c>
      <c r="H31" s="235">
        <f t="shared" si="4"/>
        <v>0</v>
      </c>
      <c r="I31" s="235">
        <f t="shared" si="5"/>
        <v>1426.4284604527859</v>
      </c>
      <c r="K31" s="434"/>
    </row>
    <row r="32" spans="1:11">
      <c r="A32" s="223">
        <f t="shared" si="2"/>
        <v>18</v>
      </c>
      <c r="B32" s="224">
        <v>37135</v>
      </c>
      <c r="C32" s="263">
        <v>0</v>
      </c>
      <c r="D32" s="234">
        <v>0</v>
      </c>
      <c r="E32" s="235">
        <f t="shared" si="0"/>
        <v>0</v>
      </c>
      <c r="F32" s="235">
        <f t="shared" si="1"/>
        <v>0</v>
      </c>
      <c r="G32" s="235">
        <f t="shared" si="3"/>
        <v>31316.257675116194</v>
      </c>
      <c r="H32" s="235">
        <f t="shared" si="4"/>
        <v>0</v>
      </c>
      <c r="I32" s="235">
        <f t="shared" si="5"/>
        <v>1426.4284604527859</v>
      </c>
      <c r="K32" s="434"/>
    </row>
    <row r="33" spans="1:13">
      <c r="A33" s="223">
        <f t="shared" si="2"/>
        <v>19</v>
      </c>
      <c r="B33" s="224">
        <v>37165</v>
      </c>
      <c r="C33" s="433">
        <v>0</v>
      </c>
      <c r="D33" s="239">
        <v>0</v>
      </c>
      <c r="E33" s="240">
        <f t="shared" si="0"/>
        <v>0</v>
      </c>
      <c r="F33" s="240">
        <f t="shared" si="1"/>
        <v>0</v>
      </c>
      <c r="G33" s="240">
        <f t="shared" si="3"/>
        <v>31316.257675116194</v>
      </c>
      <c r="H33" s="240">
        <f t="shared" si="4"/>
        <v>0</v>
      </c>
      <c r="I33" s="240">
        <f t="shared" si="5"/>
        <v>1426.4284604527859</v>
      </c>
      <c r="K33" s="434"/>
    </row>
    <row r="34" spans="1:13">
      <c r="C34" s="228">
        <f>SUM(C15:C33)</f>
        <v>1</v>
      </c>
      <c r="D34" s="236">
        <f>SUM(D15:D33)</f>
        <v>28520.899214663415</v>
      </c>
      <c r="E34" s="236">
        <f>SUM(E15:E33)</f>
        <v>1368.93</v>
      </c>
      <c r="F34" s="236">
        <f>SUM(F15:F33)</f>
        <v>29889.829214663412</v>
      </c>
      <c r="G34" s="18"/>
      <c r="H34" s="236">
        <f>SUM(H15:H33)</f>
        <v>1426.4284604527859</v>
      </c>
      <c r="I34" s="236"/>
    </row>
    <row r="38" spans="1:13" ht="18.75">
      <c r="A38" s="61" t="s">
        <v>219</v>
      </c>
      <c r="B38" s="278"/>
      <c r="F38"/>
      <c r="G38"/>
      <c r="H38"/>
      <c r="I38"/>
      <c r="J38"/>
      <c r="K38"/>
      <c r="L38"/>
    </row>
    <row r="39" spans="1:13" ht="13.5" thickBot="1">
      <c r="F39" s="399" t="s">
        <v>415</v>
      </c>
    </row>
    <row r="40" spans="1:13">
      <c r="F40" s="416"/>
      <c r="G40" s="413" t="s">
        <v>324</v>
      </c>
      <c r="H40" s="413">
        <v>1</v>
      </c>
      <c r="I40" s="413">
        <v>2</v>
      </c>
      <c r="J40" s="413">
        <v>3</v>
      </c>
      <c r="K40" s="413">
        <v>4</v>
      </c>
      <c r="L40" s="413">
        <v>5</v>
      </c>
      <c r="M40" s="414">
        <v>6</v>
      </c>
    </row>
    <row r="41" spans="1:13" ht="13.5" thickBot="1">
      <c r="A41" s="225" t="s">
        <v>325</v>
      </c>
      <c r="B41" s="225" t="s">
        <v>327</v>
      </c>
      <c r="C41" s="225" t="s">
        <v>329</v>
      </c>
      <c r="D41" s="225" t="s">
        <v>218</v>
      </c>
      <c r="F41" s="417" t="s">
        <v>173</v>
      </c>
      <c r="G41" s="415" t="s">
        <v>334</v>
      </c>
      <c r="H41" s="535">
        <v>5.5</v>
      </c>
      <c r="I41" s="535">
        <v>6</v>
      </c>
      <c r="J41" s="535">
        <v>6.5</v>
      </c>
      <c r="K41" s="535">
        <v>7</v>
      </c>
      <c r="L41" s="535">
        <v>7.5</v>
      </c>
      <c r="M41" s="536">
        <v>8</v>
      </c>
    </row>
    <row r="42" spans="1:13" ht="13.5" thickBot="1">
      <c r="A42" s="225" t="s">
        <v>326</v>
      </c>
      <c r="B42" s="225" t="s">
        <v>328</v>
      </c>
      <c r="C42" s="225" t="s">
        <v>330</v>
      </c>
      <c r="D42" s="225" t="s">
        <v>331</v>
      </c>
      <c r="F42" s="418">
        <v>1</v>
      </c>
      <c r="G42" s="405"/>
      <c r="H42" s="515">
        <v>0.17</v>
      </c>
      <c r="I42" s="515">
        <v>0.17</v>
      </c>
      <c r="J42" s="515">
        <v>0.17</v>
      </c>
      <c r="K42" s="406">
        <v>0.17</v>
      </c>
      <c r="L42" s="406">
        <v>0.17</v>
      </c>
      <c r="M42" s="407">
        <v>0.17</v>
      </c>
    </row>
    <row r="43" spans="1:13">
      <c r="A43" s="422" t="s">
        <v>217</v>
      </c>
      <c r="B43" s="423">
        <v>3</v>
      </c>
      <c r="C43" s="424">
        <v>36737</v>
      </c>
      <c r="D43" s="425">
        <v>36829</v>
      </c>
      <c r="F43" s="419">
        <v>2</v>
      </c>
      <c r="G43" s="176"/>
      <c r="H43" s="516">
        <v>0.16</v>
      </c>
      <c r="I43" s="516">
        <v>0.16</v>
      </c>
      <c r="J43" s="516">
        <v>0.16</v>
      </c>
      <c r="K43" s="408">
        <v>0.12</v>
      </c>
      <c r="L43" s="408">
        <v>0.12</v>
      </c>
      <c r="M43" s="409">
        <v>0.12</v>
      </c>
    </row>
    <row r="44" spans="1:13">
      <c r="A44" s="426" t="s">
        <v>216</v>
      </c>
      <c r="B44" s="420">
        <v>3</v>
      </c>
      <c r="C44" s="421">
        <v>36768</v>
      </c>
      <c r="D44" s="427">
        <v>36829</v>
      </c>
      <c r="F44" s="419">
        <v>3</v>
      </c>
      <c r="G44" s="176"/>
      <c r="H44" s="516">
        <v>0.16</v>
      </c>
      <c r="I44" s="516">
        <v>0.16</v>
      </c>
      <c r="J44" s="516">
        <v>0.13</v>
      </c>
      <c r="K44" s="408">
        <v>0.12</v>
      </c>
      <c r="L44" s="408">
        <v>0.12</v>
      </c>
      <c r="M44" s="409">
        <v>0.12</v>
      </c>
    </row>
    <row r="45" spans="1:13">
      <c r="A45" s="426" t="s">
        <v>215</v>
      </c>
      <c r="B45" s="420">
        <v>2</v>
      </c>
      <c r="C45" s="421">
        <v>36799</v>
      </c>
      <c r="D45" s="427">
        <v>36829</v>
      </c>
      <c r="F45" s="419">
        <v>4</v>
      </c>
      <c r="G45" s="176"/>
      <c r="H45" s="516">
        <v>0.16</v>
      </c>
      <c r="I45" s="516">
        <v>0.16</v>
      </c>
      <c r="J45" s="516">
        <v>0.16</v>
      </c>
      <c r="K45" s="408">
        <v>0.14000000000000001</v>
      </c>
      <c r="L45" s="408">
        <v>0.14000000000000001</v>
      </c>
      <c r="M45" s="409">
        <v>0.14000000000000001</v>
      </c>
    </row>
    <row r="46" spans="1:13">
      <c r="A46" s="426" t="s">
        <v>214</v>
      </c>
      <c r="B46" s="420">
        <v>3</v>
      </c>
      <c r="C46" s="421">
        <v>36829</v>
      </c>
      <c r="D46" s="427">
        <v>36829</v>
      </c>
      <c r="F46" s="419">
        <v>5</v>
      </c>
      <c r="G46" s="176"/>
      <c r="H46" s="516">
        <v>0.17</v>
      </c>
      <c r="I46" s="516">
        <v>0.17</v>
      </c>
      <c r="J46" s="516">
        <v>0.16</v>
      </c>
      <c r="K46" s="408">
        <v>0.18</v>
      </c>
      <c r="L46" s="408">
        <v>0.13</v>
      </c>
      <c r="M46" s="409">
        <v>0.13</v>
      </c>
    </row>
    <row r="47" spans="1:13">
      <c r="A47" s="426" t="s">
        <v>213</v>
      </c>
      <c r="B47" s="420">
        <v>2</v>
      </c>
      <c r="C47" s="421">
        <v>36860</v>
      </c>
      <c r="D47" s="427">
        <v>36860</v>
      </c>
      <c r="F47" s="419">
        <v>6</v>
      </c>
      <c r="G47" s="176"/>
      <c r="H47" s="516">
        <v>0.18</v>
      </c>
      <c r="I47" s="516">
        <v>0.18</v>
      </c>
      <c r="J47" s="516">
        <v>0.12</v>
      </c>
      <c r="K47" s="408">
        <v>0.12</v>
      </c>
      <c r="L47" s="408">
        <v>0.12</v>
      </c>
      <c r="M47" s="409">
        <v>0.12</v>
      </c>
    </row>
    <row r="48" spans="1:13">
      <c r="A48" s="428" t="s">
        <v>212</v>
      </c>
      <c r="B48" s="420">
        <v>2</v>
      </c>
      <c r="C48" s="421">
        <v>36890</v>
      </c>
      <c r="D48" s="427">
        <v>36890</v>
      </c>
      <c r="F48" s="419">
        <v>7</v>
      </c>
      <c r="G48" s="176"/>
      <c r="H48" s="516">
        <v>0</v>
      </c>
      <c r="I48" s="516">
        <v>0</v>
      </c>
      <c r="J48" s="516">
        <v>0.1</v>
      </c>
      <c r="K48" s="408">
        <v>0.15</v>
      </c>
      <c r="L48" s="408">
        <v>0.1</v>
      </c>
      <c r="M48" s="409">
        <v>0.1</v>
      </c>
    </row>
    <row r="49" spans="1:13">
      <c r="A49" s="428" t="s">
        <v>211</v>
      </c>
      <c r="B49" s="420">
        <v>3</v>
      </c>
      <c r="C49" s="421">
        <v>36555</v>
      </c>
      <c r="D49" s="427">
        <v>36555</v>
      </c>
      <c r="F49" s="419">
        <v>8</v>
      </c>
      <c r="G49" s="176"/>
      <c r="H49" s="516">
        <v>0</v>
      </c>
      <c r="I49" s="516">
        <v>0</v>
      </c>
      <c r="J49" s="516">
        <v>0</v>
      </c>
      <c r="K49" s="408">
        <v>0</v>
      </c>
      <c r="L49" s="408">
        <v>0.1</v>
      </c>
      <c r="M49" s="409">
        <v>0.1</v>
      </c>
    </row>
    <row r="50" spans="1:13">
      <c r="A50" s="428" t="s">
        <v>210</v>
      </c>
      <c r="B50" s="420">
        <v>2</v>
      </c>
      <c r="C50" s="421">
        <v>36950</v>
      </c>
      <c r="D50" s="427">
        <v>36950</v>
      </c>
      <c r="F50" s="419">
        <v>9</v>
      </c>
      <c r="G50" s="176"/>
      <c r="H50" s="516">
        <v>0</v>
      </c>
      <c r="I50" s="516">
        <v>0</v>
      </c>
      <c r="J50" s="516">
        <v>0</v>
      </c>
      <c r="K50" s="408">
        <v>0</v>
      </c>
      <c r="L50" s="408">
        <v>0</v>
      </c>
      <c r="M50" s="409">
        <v>0</v>
      </c>
    </row>
    <row r="51" spans="1:13">
      <c r="A51" s="428" t="s">
        <v>209</v>
      </c>
      <c r="B51" s="420">
        <v>2</v>
      </c>
      <c r="C51" s="421">
        <v>36980</v>
      </c>
      <c r="D51" s="427">
        <v>36980</v>
      </c>
      <c r="F51" s="419">
        <v>10</v>
      </c>
      <c r="G51" s="176"/>
      <c r="H51" s="516">
        <v>0</v>
      </c>
      <c r="I51" s="516">
        <v>0</v>
      </c>
      <c r="J51" s="516">
        <v>0</v>
      </c>
      <c r="K51" s="408">
        <v>0</v>
      </c>
      <c r="L51" s="408">
        <v>0</v>
      </c>
      <c r="M51" s="409">
        <v>0</v>
      </c>
    </row>
    <row r="52" spans="1:13" ht="13.5" thickBot="1">
      <c r="A52" s="429" t="s">
        <v>208</v>
      </c>
      <c r="B52" s="430">
        <v>2</v>
      </c>
      <c r="C52" s="431">
        <v>37011</v>
      </c>
      <c r="D52" s="432">
        <v>37011</v>
      </c>
      <c r="F52" s="419">
        <v>11</v>
      </c>
      <c r="G52" s="176"/>
      <c r="H52" s="516">
        <v>0</v>
      </c>
      <c r="I52" s="516">
        <v>0</v>
      </c>
      <c r="J52" s="516">
        <v>0</v>
      </c>
      <c r="K52" s="408">
        <v>0</v>
      </c>
      <c r="L52" s="408">
        <v>0</v>
      </c>
      <c r="M52" s="409">
        <v>0</v>
      </c>
    </row>
    <row r="53" spans="1:13">
      <c r="F53" s="419">
        <v>12</v>
      </c>
      <c r="G53" s="176"/>
      <c r="H53" s="516">
        <v>0</v>
      </c>
      <c r="I53" s="516">
        <v>0</v>
      </c>
      <c r="J53" s="516">
        <v>0</v>
      </c>
      <c r="K53" s="408">
        <v>0</v>
      </c>
      <c r="L53" s="408">
        <v>0</v>
      </c>
      <c r="M53" s="409">
        <v>0</v>
      </c>
    </row>
    <row r="54" spans="1:13" ht="13.5" thickBot="1">
      <c r="F54" s="419">
        <v>13</v>
      </c>
      <c r="G54" s="176"/>
      <c r="H54" s="516">
        <v>0</v>
      </c>
      <c r="I54" s="516">
        <v>0</v>
      </c>
      <c r="J54" s="516">
        <v>0</v>
      </c>
      <c r="K54" s="408">
        <v>0</v>
      </c>
      <c r="L54" s="408">
        <v>0</v>
      </c>
      <c r="M54" s="409">
        <v>0</v>
      </c>
    </row>
    <row r="55" spans="1:13">
      <c r="A55" s="282" t="s">
        <v>332</v>
      </c>
      <c r="B55" s="38"/>
      <c r="C55" s="38"/>
      <c r="D55" s="279"/>
      <c r="F55" s="419">
        <v>14</v>
      </c>
      <c r="G55" s="176"/>
      <c r="H55" s="408">
        <v>0</v>
      </c>
      <c r="I55" s="408">
        <v>0</v>
      </c>
      <c r="J55" s="408">
        <v>0</v>
      </c>
      <c r="K55" s="408">
        <v>0</v>
      </c>
      <c r="L55" s="408">
        <v>0</v>
      </c>
      <c r="M55" s="409">
        <v>0</v>
      </c>
    </row>
    <row r="56" spans="1:13" ht="13.5" thickBot="1">
      <c r="A56" s="41" t="s">
        <v>429</v>
      </c>
      <c r="B56" s="13"/>
      <c r="C56" s="13"/>
      <c r="D56" s="280">
        <v>13950</v>
      </c>
      <c r="F56" s="463">
        <v>15</v>
      </c>
      <c r="G56" s="410"/>
      <c r="H56" s="411">
        <v>0</v>
      </c>
      <c r="I56" s="411">
        <v>0</v>
      </c>
      <c r="J56" s="411">
        <v>0</v>
      </c>
      <c r="K56" s="411">
        <v>0</v>
      </c>
      <c r="L56" s="411">
        <v>0</v>
      </c>
      <c r="M56" s="412">
        <v>0</v>
      </c>
    </row>
    <row r="57" spans="1:13" ht="13.5" thickBot="1">
      <c r="A57" s="41" t="s">
        <v>221</v>
      </c>
      <c r="B57" s="13"/>
      <c r="C57" s="13"/>
      <c r="D57" s="280">
        <v>289.6162739983738</v>
      </c>
      <c r="F57" s="435" t="s">
        <v>335</v>
      </c>
      <c r="G57" s="410"/>
      <c r="H57" s="411">
        <f t="shared" ref="H57:M57" si="6">SUM(H42:H56)</f>
        <v>1</v>
      </c>
      <c r="I57" s="411">
        <f t="shared" si="6"/>
        <v>1</v>
      </c>
      <c r="J57" s="411">
        <f t="shared" si="6"/>
        <v>1</v>
      </c>
      <c r="K57" s="411">
        <f t="shared" si="6"/>
        <v>1</v>
      </c>
      <c r="L57" s="411">
        <f t="shared" si="6"/>
        <v>1</v>
      </c>
      <c r="M57" s="412">
        <f t="shared" si="6"/>
        <v>1</v>
      </c>
    </row>
    <row r="58" spans="1:13" ht="13.5" thickBot="1">
      <c r="A58" s="169" t="s">
        <v>220</v>
      </c>
      <c r="B58" s="42"/>
      <c r="C58" s="42"/>
      <c r="D58" s="281">
        <v>20.833333333333314</v>
      </c>
      <c r="E58" s="66"/>
    </row>
    <row r="59" spans="1:13" ht="13.5" thickBot="1">
      <c r="A59" s="283" t="s">
        <v>333</v>
      </c>
      <c r="B59" s="284"/>
      <c r="C59" s="284"/>
      <c r="D59" s="285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CIPCO</v>
      </c>
    </row>
    <row r="4" spans="1:4" ht="18.75">
      <c r="A4" s="167" t="s">
        <v>117</v>
      </c>
    </row>
    <row r="6" spans="1:4" ht="13.5" thickBot="1"/>
    <row r="7" spans="1:4" ht="13.5" thickBot="1">
      <c r="A7" s="513"/>
      <c r="B7" s="469" t="s">
        <v>397</v>
      </c>
      <c r="C7" s="470" t="s">
        <v>0</v>
      </c>
      <c r="D7" s="471"/>
    </row>
    <row r="8" spans="1:4">
      <c r="A8" s="472"/>
      <c r="B8" s="288" t="s">
        <v>119</v>
      </c>
      <c r="C8" s="288" t="s">
        <v>2</v>
      </c>
      <c r="D8" s="473" t="s">
        <v>404</v>
      </c>
    </row>
    <row r="9" spans="1:4" ht="13.5" thickBot="1">
      <c r="A9" s="474" t="s">
        <v>116</v>
      </c>
      <c r="B9" s="475">
        <f>'Returns Analysis'!C39</f>
        <v>7.7196463942527771E-2</v>
      </c>
      <c r="C9" s="476" t="e">
        <f>Debt!E69</f>
        <v>#DIV/0!</v>
      </c>
      <c r="D9" s="477" t="e">
        <f>Debt!E68</f>
        <v>#DIV/0!</v>
      </c>
    </row>
    <row r="10" spans="1:4">
      <c r="A10" s="63"/>
      <c r="C10" s="478"/>
      <c r="D10" s="478"/>
    </row>
    <row r="11" spans="1:4" ht="13.5" thickBot="1"/>
    <row r="12" spans="1:4">
      <c r="A12" s="479" t="s">
        <v>363</v>
      </c>
      <c r="B12" s="480">
        <f>B9</f>
        <v>7.7196463942527771E-2</v>
      </c>
      <c r="C12" s="481" t="e">
        <f>C9</f>
        <v>#DIV/0!</v>
      </c>
      <c r="D12" s="482" t="e">
        <f>D9</f>
        <v>#DIV/0!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69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C32" sqref="C32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1" t="s">
        <v>83</v>
      </c>
      <c r="I1" s="80"/>
      <c r="AL1" s="80"/>
    </row>
    <row r="2" spans="1:38" ht="13.5" customHeight="1" thickBot="1">
      <c r="A2" s="241"/>
      <c r="I2" s="80"/>
      <c r="AL2" s="80"/>
    </row>
    <row r="3" spans="1:38" ht="19.5" customHeight="1">
      <c r="A3" s="533" t="s">
        <v>431</v>
      </c>
      <c r="I3" s="80"/>
      <c r="AL3" s="80"/>
    </row>
    <row r="4" spans="1:38" s="5" customFormat="1" ht="19.5" customHeight="1" thickBot="1">
      <c r="A4" s="534"/>
      <c r="I4" s="174"/>
      <c r="AL4" s="174"/>
    </row>
    <row r="5" spans="1:38" ht="19.5" customHeight="1">
      <c r="A5" s="167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1"/>
      <c r="E8" s="13"/>
      <c r="F8" s="93" t="s">
        <v>91</v>
      </c>
      <c r="G8" s="112"/>
      <c r="H8" s="113"/>
      <c r="I8" s="196"/>
      <c r="J8" s="39"/>
      <c r="L8" s="94" t="s">
        <v>194</v>
      </c>
      <c r="M8" s="118"/>
      <c r="N8" s="38"/>
      <c r="O8" s="38"/>
      <c r="P8" s="39"/>
      <c r="U8" s="331" t="s">
        <v>226</v>
      </c>
      <c r="V8" s="332" t="s">
        <v>231</v>
      </c>
      <c r="W8" s="332" t="s">
        <v>235</v>
      </c>
      <c r="X8" s="332" t="s">
        <v>118</v>
      </c>
      <c r="Y8" s="332" t="s">
        <v>250</v>
      </c>
      <c r="Z8" s="332" t="s">
        <v>251</v>
      </c>
      <c r="AA8" s="332" t="s">
        <v>252</v>
      </c>
      <c r="AB8" s="353" t="s">
        <v>309</v>
      </c>
    </row>
    <row r="9" spans="1:38" ht="15.75">
      <c r="A9" s="95" t="s">
        <v>6</v>
      </c>
      <c r="B9" s="96" t="s">
        <v>7</v>
      </c>
      <c r="C9" s="190" t="s">
        <v>8</v>
      </c>
      <c r="D9" s="531" t="s">
        <v>189</v>
      </c>
      <c r="E9" s="13"/>
      <c r="F9" s="115"/>
      <c r="G9" s="173"/>
      <c r="H9" s="173"/>
      <c r="I9" s="13"/>
      <c r="J9" s="40"/>
      <c r="L9" s="117" t="s">
        <v>297</v>
      </c>
      <c r="M9" s="13"/>
      <c r="N9" s="13"/>
      <c r="O9" s="13"/>
      <c r="P9" s="40"/>
      <c r="U9" s="321" t="s">
        <v>230</v>
      </c>
      <c r="V9" s="322" t="s">
        <v>232</v>
      </c>
      <c r="W9" s="322" t="s">
        <v>303</v>
      </c>
      <c r="X9" s="322" t="s">
        <v>246</v>
      </c>
      <c r="Y9" s="322" t="s">
        <v>255</v>
      </c>
      <c r="Z9" s="322" t="s">
        <v>253</v>
      </c>
      <c r="AA9" s="322" t="s">
        <v>253</v>
      </c>
      <c r="AB9" s="354" t="s">
        <v>312</v>
      </c>
    </row>
    <row r="10" spans="1:38" ht="15.75">
      <c r="A10" s="98" t="s">
        <v>9</v>
      </c>
      <c r="B10" s="264">
        <f>C10/C13</f>
        <v>0.30000000000000004</v>
      </c>
      <c r="C10" s="191">
        <f>C61-C11</f>
        <v>17431.535343135838</v>
      </c>
      <c r="D10" s="340">
        <f>C10/$H$70</f>
        <v>114.68115357326209</v>
      </c>
      <c r="E10" s="13"/>
      <c r="F10" s="115" t="s">
        <v>104</v>
      </c>
      <c r="G10" s="13"/>
      <c r="H10" s="215" t="s">
        <v>432</v>
      </c>
      <c r="I10" s="13"/>
      <c r="J10" s="40"/>
      <c r="L10" s="41"/>
      <c r="M10" s="13"/>
      <c r="N10" s="13"/>
      <c r="O10" s="13"/>
      <c r="P10" s="40"/>
      <c r="U10" s="286" t="s">
        <v>227</v>
      </c>
      <c r="V10" s="201" t="s">
        <v>233</v>
      </c>
      <c r="W10" s="201" t="s">
        <v>304</v>
      </c>
      <c r="X10" s="201" t="s">
        <v>245</v>
      </c>
      <c r="Y10" s="201" t="s">
        <v>318</v>
      </c>
      <c r="Z10" s="201" t="s">
        <v>254</v>
      </c>
      <c r="AA10" s="201" t="s">
        <v>254</v>
      </c>
      <c r="AB10" s="355" t="s">
        <v>310</v>
      </c>
    </row>
    <row r="11" spans="1:38" ht="15.75">
      <c r="A11" s="98" t="s">
        <v>86</v>
      </c>
      <c r="B11" s="539">
        <v>0.7</v>
      </c>
      <c r="C11" s="191">
        <f>B11*C61</f>
        <v>40673.582467316948</v>
      </c>
      <c r="D11" s="340">
        <f>C11/$H$70</f>
        <v>267.58935833761149</v>
      </c>
      <c r="E11" s="13"/>
      <c r="F11" s="115" t="s">
        <v>206</v>
      </c>
      <c r="G11" s="13"/>
      <c r="H11" s="277">
        <v>20000</v>
      </c>
      <c r="I11" s="13"/>
      <c r="J11" s="40"/>
      <c r="L11" s="117" t="s">
        <v>124</v>
      </c>
      <c r="M11" s="13"/>
      <c r="N11" s="255">
        <v>0.03</v>
      </c>
      <c r="O11" s="217"/>
      <c r="P11" s="40"/>
      <c r="U11" s="286" t="s">
        <v>38</v>
      </c>
      <c r="V11" s="201" t="s">
        <v>230</v>
      </c>
      <c r="W11" s="201"/>
      <c r="X11" s="201" t="s">
        <v>305</v>
      </c>
      <c r="Y11" s="201"/>
      <c r="Z11" s="201"/>
      <c r="AA11" s="201"/>
      <c r="AB11" s="355" t="s">
        <v>311</v>
      </c>
    </row>
    <row r="12" spans="1:38" ht="15.75">
      <c r="A12" s="41"/>
      <c r="B12" s="13"/>
      <c r="C12" s="13"/>
      <c r="D12" s="40"/>
      <c r="E12" s="13"/>
      <c r="F12" s="115" t="s">
        <v>11</v>
      </c>
      <c r="G12" s="173"/>
      <c r="H12" s="245">
        <v>2</v>
      </c>
      <c r="I12" s="109"/>
      <c r="J12" s="40"/>
      <c r="L12" s="100"/>
      <c r="M12" s="13"/>
      <c r="N12" s="13"/>
      <c r="O12" s="217"/>
      <c r="P12" s="40"/>
      <c r="U12" s="333"/>
      <c r="V12" s="201" t="s">
        <v>38</v>
      </c>
      <c r="W12" s="13"/>
      <c r="X12" s="201" t="s">
        <v>249</v>
      </c>
      <c r="Y12" s="13"/>
      <c r="Z12" s="13"/>
      <c r="AA12" s="13"/>
      <c r="AB12" s="327"/>
    </row>
    <row r="13" spans="1:38" ht="15.75">
      <c r="A13" s="99" t="s">
        <v>10</v>
      </c>
      <c r="B13" s="147">
        <f>C13/$C$13</f>
        <v>1</v>
      </c>
      <c r="C13" s="192">
        <f>SUM(C10:C11)</f>
        <v>58105.117810452786</v>
      </c>
      <c r="D13" s="532">
        <f>C13/$H$70</f>
        <v>382.27051191087361</v>
      </c>
      <c r="E13" s="13"/>
      <c r="F13" s="115" t="s">
        <v>445</v>
      </c>
      <c r="G13" s="173"/>
      <c r="H13" s="246">
        <v>76</v>
      </c>
      <c r="I13" s="109"/>
      <c r="J13" s="40"/>
      <c r="L13" s="117" t="s">
        <v>88</v>
      </c>
      <c r="M13" s="13"/>
      <c r="N13" s="97"/>
      <c r="O13" s="217"/>
      <c r="P13" s="40"/>
      <c r="U13" s="321">
        <v>1</v>
      </c>
      <c r="V13" s="322">
        <v>1</v>
      </c>
      <c r="W13" s="322">
        <v>1</v>
      </c>
      <c r="X13" s="322">
        <v>1</v>
      </c>
      <c r="Y13" s="322">
        <v>2</v>
      </c>
      <c r="Z13" s="322">
        <v>1</v>
      </c>
      <c r="AA13" s="322">
        <f>IF(C27&gt;0,1,2)</f>
        <v>1</v>
      </c>
      <c r="AB13" s="354">
        <v>1</v>
      </c>
    </row>
    <row r="14" spans="1:38" ht="15.75">
      <c r="A14" s="527" t="s">
        <v>426</v>
      </c>
      <c r="B14" s="528" t="s">
        <v>254</v>
      </c>
      <c r="C14" s="13"/>
      <c r="D14" s="40"/>
      <c r="E14" s="13"/>
      <c r="F14" s="115" t="s">
        <v>446</v>
      </c>
      <c r="G14" s="13"/>
      <c r="H14" s="246">
        <v>82</v>
      </c>
      <c r="I14" s="13"/>
      <c r="J14" s="40"/>
      <c r="L14" s="41"/>
      <c r="M14" s="13"/>
      <c r="N14" s="266" t="s">
        <v>191</v>
      </c>
      <c r="O14" s="200" t="s">
        <v>168</v>
      </c>
      <c r="P14" s="197" t="s">
        <v>412</v>
      </c>
      <c r="U14" s="287" t="str">
        <f>CHOOSE(U13,U9,U10,U11)</f>
        <v>Index</v>
      </c>
      <c r="V14" s="288" t="str">
        <f>CHOOSE(V13,V9,V10,V11,V12)</f>
        <v>Base</v>
      </c>
      <c r="W14" s="288" t="str">
        <f>CHOOSE(W13,W9,W10,W11,W12)</f>
        <v>Pass-through</v>
      </c>
      <c r="X14" s="288" t="str">
        <f>CHOOSE(X13,X9,X10,X11,X12)</f>
        <v>EBITDA Exit Multiple</v>
      </c>
      <c r="Y14" s="288">
        <f>IF(Y13=1,1,2)</f>
        <v>2</v>
      </c>
      <c r="Z14" s="288">
        <f>IF(C34&gt;0,10,20)</f>
        <v>20</v>
      </c>
      <c r="AA14" s="288" t="str">
        <f>CHOOSE(AA13,AA9,AA10,AA11,AA12)</f>
        <v>Yes</v>
      </c>
      <c r="AB14" s="323" t="str">
        <f>CHOOSE(AB13,AB9,AB10,AB11,AB12)</f>
        <v>Bank LT Debt</v>
      </c>
    </row>
    <row r="15" spans="1:38" ht="15.75">
      <c r="A15" s="41"/>
      <c r="B15" s="13"/>
      <c r="C15" s="13"/>
      <c r="D15" s="342"/>
      <c r="E15" s="13"/>
      <c r="F15" s="115" t="s">
        <v>365</v>
      </c>
      <c r="G15" s="173"/>
      <c r="H15" s="245">
        <v>11900</v>
      </c>
      <c r="I15" s="109"/>
      <c r="J15" s="40"/>
      <c r="L15" s="100" t="s">
        <v>192</v>
      </c>
      <c r="M15" s="13"/>
      <c r="N15" s="523"/>
      <c r="O15" s="218"/>
      <c r="P15" s="256">
        <v>0</v>
      </c>
    </row>
    <row r="16" spans="1:38" ht="15.75">
      <c r="A16" s="95" t="s">
        <v>103</v>
      </c>
      <c r="B16" s="13"/>
      <c r="C16" s="13"/>
      <c r="D16" s="342"/>
      <c r="E16" s="13"/>
      <c r="F16" s="115" t="s">
        <v>366</v>
      </c>
      <c r="G16" s="173"/>
      <c r="H16" s="245">
        <v>12064</v>
      </c>
      <c r="I16" s="13"/>
      <c r="J16" s="40"/>
      <c r="L16" s="103" t="s">
        <v>239</v>
      </c>
      <c r="M16" s="13"/>
      <c r="N16" s="524"/>
      <c r="O16" s="291"/>
      <c r="P16" s="292">
        <v>0</v>
      </c>
      <c r="U16" s="325"/>
      <c r="V16" s="57" t="s">
        <v>258</v>
      </c>
      <c r="W16" s="326" t="s">
        <v>259</v>
      </c>
    </row>
    <row r="17" spans="1:23" ht="15.75">
      <c r="A17" s="98" t="s">
        <v>406</v>
      </c>
      <c r="B17" s="13"/>
      <c r="C17" s="530"/>
      <c r="D17" s="342"/>
      <c r="E17" s="13"/>
      <c r="F17" s="115" t="s">
        <v>184</v>
      </c>
      <c r="G17" s="13"/>
      <c r="H17" s="525">
        <v>7</v>
      </c>
      <c r="I17" s="13"/>
      <c r="J17" s="40"/>
      <c r="L17" s="115" t="s">
        <v>236</v>
      </c>
      <c r="M17" s="6"/>
      <c r="N17" s="269">
        <f>SUM(N15:N16)</f>
        <v>0</v>
      </c>
      <c r="O17" s="219"/>
      <c r="P17" s="293">
        <f>SUM(P15:P16)</f>
        <v>0</v>
      </c>
      <c r="U17" s="55" t="s">
        <v>255</v>
      </c>
      <c r="V17" s="13">
        <v>11</v>
      </c>
      <c r="W17" s="327">
        <v>21</v>
      </c>
    </row>
    <row r="18" spans="1:23" ht="15.75">
      <c r="A18" s="100" t="s">
        <v>407</v>
      </c>
      <c r="B18" s="165">
        <f t="shared" ref="B18:B34" si="0">C18/$C$61</f>
        <v>0.68840751911881026</v>
      </c>
      <c r="C18" s="193">
        <f>H11*H12</f>
        <v>40000</v>
      </c>
      <c r="D18" s="340">
        <f t="shared" ref="D18:D34" si="1">C18/$H$70</f>
        <v>263.15789473684208</v>
      </c>
      <c r="E18" s="13"/>
      <c r="F18" s="115" t="s">
        <v>106</v>
      </c>
      <c r="G18" s="173"/>
      <c r="H18" s="248">
        <v>37012</v>
      </c>
      <c r="I18" s="109"/>
      <c r="J18" s="40"/>
      <c r="L18" s="41"/>
      <c r="M18" s="13"/>
      <c r="N18" s="13"/>
      <c r="O18" s="13"/>
      <c r="P18" s="184" t="s">
        <v>417</v>
      </c>
      <c r="U18" s="328" t="s">
        <v>256</v>
      </c>
      <c r="V18" s="58">
        <v>12</v>
      </c>
      <c r="W18" s="289">
        <v>22</v>
      </c>
    </row>
    <row r="19" spans="1:23" ht="15.75">
      <c r="A19" s="100" t="s">
        <v>247</v>
      </c>
      <c r="B19" s="165">
        <f t="shared" si="0"/>
        <v>0</v>
      </c>
      <c r="C19" s="193">
        <v>0</v>
      </c>
      <c r="D19" s="340">
        <f t="shared" si="1"/>
        <v>0</v>
      </c>
      <c r="E19" s="13"/>
      <c r="F19" s="100" t="s">
        <v>127</v>
      </c>
      <c r="G19" s="97"/>
      <c r="H19" s="269">
        <v>8</v>
      </c>
      <c r="I19" s="109"/>
      <c r="J19" s="40"/>
      <c r="L19" s="100" t="s">
        <v>193</v>
      </c>
      <c r="M19" s="13"/>
      <c r="N19" s="247">
        <v>0</v>
      </c>
      <c r="O19" s="537">
        <f t="shared" ref="O19:O25" si="2">N19/$H$70</f>
        <v>0</v>
      </c>
      <c r="P19" s="40"/>
    </row>
    <row r="20" spans="1:23" ht="15.75">
      <c r="A20" s="100" t="s">
        <v>425</v>
      </c>
      <c r="B20" s="165">
        <f t="shared" si="0"/>
        <v>0</v>
      </c>
      <c r="C20" s="193">
        <v>0</v>
      </c>
      <c r="D20" s="340">
        <f t="shared" si="1"/>
        <v>0</v>
      </c>
      <c r="E20" s="13"/>
      <c r="F20" s="115" t="s">
        <v>105</v>
      </c>
      <c r="G20" s="13"/>
      <c r="H20" s="245">
        <v>20</v>
      </c>
      <c r="I20" s="109"/>
      <c r="J20" s="40"/>
      <c r="L20" s="100" t="s">
        <v>35</v>
      </c>
      <c r="M20" s="13"/>
      <c r="N20" s="247">
        <v>0</v>
      </c>
      <c r="O20" s="537">
        <f t="shared" si="2"/>
        <v>0</v>
      </c>
      <c r="P20" s="40"/>
    </row>
    <row r="21" spans="1:23" ht="15.75">
      <c r="A21" s="100" t="s">
        <v>434</v>
      </c>
      <c r="B21" s="165">
        <f t="shared" si="0"/>
        <v>2.5251820412556638E-3</v>
      </c>
      <c r="C21" s="243">
        <v>146.726</v>
      </c>
      <c r="D21" s="340">
        <f t="shared" si="1"/>
        <v>0.96530263157894736</v>
      </c>
      <c r="E21" s="13"/>
      <c r="F21" s="115" t="s">
        <v>291</v>
      </c>
      <c r="G21" s="13"/>
      <c r="H21" s="330" t="s">
        <v>433</v>
      </c>
      <c r="I21" s="13"/>
      <c r="J21" s="40"/>
      <c r="L21" s="100" t="s">
        <v>430</v>
      </c>
      <c r="M21" s="13"/>
      <c r="N21" s="247">
        <v>0</v>
      </c>
      <c r="O21" s="537">
        <f t="shared" si="2"/>
        <v>0</v>
      </c>
      <c r="P21" s="40"/>
    </row>
    <row r="22" spans="1:23" ht="15.75">
      <c r="A22" s="100" t="s">
        <v>435</v>
      </c>
      <c r="B22" s="165">
        <f t="shared" si="0"/>
        <v>5.7457761481371723E-2</v>
      </c>
      <c r="C22" s="243">
        <v>3338.59</v>
      </c>
      <c r="D22" s="340">
        <f t="shared" si="1"/>
        <v>21.964407894736844</v>
      </c>
      <c r="E22" s="13"/>
      <c r="F22" s="41"/>
      <c r="G22" s="13"/>
      <c r="H22" s="13"/>
      <c r="I22" s="13"/>
      <c r="J22" s="40"/>
      <c r="L22" s="100" t="s">
        <v>339</v>
      </c>
      <c r="M22" s="13"/>
      <c r="N22" s="247">
        <v>0</v>
      </c>
      <c r="O22" s="537">
        <f t="shared" si="2"/>
        <v>0</v>
      </c>
      <c r="P22" s="40"/>
    </row>
    <row r="23" spans="1:23" ht="15.75">
      <c r="A23" s="100" t="s">
        <v>436</v>
      </c>
      <c r="B23" s="165">
        <f t="shared" si="0"/>
        <v>1.2275166575287285E-2</v>
      </c>
      <c r="C23" s="243">
        <v>713.25</v>
      </c>
      <c r="D23" s="340">
        <f t="shared" si="1"/>
        <v>4.6924342105263159</v>
      </c>
      <c r="E23" s="13"/>
      <c r="F23" s="114" t="s">
        <v>418</v>
      </c>
      <c r="G23" s="13"/>
      <c r="H23" s="320"/>
      <c r="I23" s="13"/>
      <c r="J23" s="40"/>
      <c r="L23" s="100" t="s">
        <v>44</v>
      </c>
      <c r="M23" s="13"/>
      <c r="N23" s="247">
        <v>0</v>
      </c>
      <c r="O23" s="537">
        <f t="shared" si="2"/>
        <v>0</v>
      </c>
      <c r="P23" s="40"/>
    </row>
    <row r="24" spans="1:23" ht="15.75">
      <c r="A24" s="100" t="s">
        <v>437</v>
      </c>
      <c r="B24" s="165">
        <f t="shared" si="0"/>
        <v>1.7953633678242618E-2</v>
      </c>
      <c r="C24" s="243">
        <v>1043.1980000000001</v>
      </c>
      <c r="D24" s="340">
        <f t="shared" si="1"/>
        <v>6.8631447368421057</v>
      </c>
      <c r="E24" s="13"/>
      <c r="F24" s="319" t="s">
        <v>246</v>
      </c>
      <c r="G24" s="173"/>
      <c r="H24" s="318">
        <v>5</v>
      </c>
      <c r="I24" s="351"/>
      <c r="J24" s="40"/>
      <c r="L24" s="100" t="s">
        <v>37</v>
      </c>
      <c r="M24" s="13"/>
      <c r="N24" s="247">
        <v>0</v>
      </c>
      <c r="O24" s="537">
        <f t="shared" si="2"/>
        <v>0</v>
      </c>
      <c r="P24" s="40"/>
    </row>
    <row r="25" spans="1:23" ht="15.75">
      <c r="A25" s="100" t="s">
        <v>438</v>
      </c>
      <c r="B25" s="165">
        <f t="shared" si="0"/>
        <v>5.605908950440208E-3</v>
      </c>
      <c r="C25" s="243">
        <v>325.73200000000003</v>
      </c>
      <c r="D25" s="340">
        <f t="shared" si="1"/>
        <v>2.1429736842105265</v>
      </c>
      <c r="E25" s="13"/>
      <c r="F25" s="319" t="s">
        <v>364</v>
      </c>
      <c r="G25" s="13"/>
      <c r="H25" s="350">
        <v>0.2</v>
      </c>
      <c r="I25" s="109"/>
      <c r="J25" s="40"/>
      <c r="L25" s="103" t="s">
        <v>420</v>
      </c>
      <c r="M25" s="213"/>
      <c r="N25" s="290">
        <v>0</v>
      </c>
      <c r="O25" s="538">
        <f t="shared" si="2"/>
        <v>0</v>
      </c>
      <c r="P25" s="40"/>
    </row>
    <row r="26" spans="1:23" ht="16.5" thickBot="1">
      <c r="A26" s="100" t="s">
        <v>434</v>
      </c>
      <c r="B26" s="165">
        <f t="shared" si="0"/>
        <v>1.7024163056116377E-2</v>
      </c>
      <c r="C26" s="243">
        <v>989.19100000000003</v>
      </c>
      <c r="D26" s="340">
        <f t="shared" si="1"/>
        <v>6.5078355263157901</v>
      </c>
      <c r="E26" s="13"/>
      <c r="F26" s="242" t="s">
        <v>189</v>
      </c>
      <c r="G26" s="42"/>
      <c r="H26" s="349">
        <v>200</v>
      </c>
      <c r="I26" s="42"/>
      <c r="J26" s="81"/>
      <c r="L26" s="115" t="s">
        <v>237</v>
      </c>
      <c r="M26" s="6"/>
      <c r="N26" s="269">
        <f>SUM(N19:N25)</f>
        <v>0</v>
      </c>
      <c r="O26" s="294">
        <f>SUM(O19:O25)</f>
        <v>0</v>
      </c>
      <c r="P26" s="356"/>
    </row>
    <row r="27" spans="1:23" ht="16.5" thickBot="1">
      <c r="A27" s="100" t="s">
        <v>439</v>
      </c>
      <c r="B27" s="165">
        <f t="shared" si="0"/>
        <v>2.1154040234625963E-2</v>
      </c>
      <c r="C27" s="243">
        <v>1229.1579999999999</v>
      </c>
      <c r="D27" s="340">
        <f t="shared" si="1"/>
        <v>8.0865657894736831</v>
      </c>
      <c r="E27" s="13"/>
      <c r="L27" s="41"/>
      <c r="M27" s="13"/>
      <c r="N27" s="13"/>
      <c r="O27" s="13"/>
      <c r="P27" s="40"/>
      <c r="R27" s="3"/>
    </row>
    <row r="28" spans="1:23" ht="15.75">
      <c r="A28" s="100" t="s">
        <v>440</v>
      </c>
      <c r="B28" s="165">
        <f t="shared" si="0"/>
        <v>3.256511769191532E-4</v>
      </c>
      <c r="C28" s="243">
        <v>18.922000000000001</v>
      </c>
      <c r="D28" s="340">
        <f t="shared" si="1"/>
        <v>0.12448684210526316</v>
      </c>
      <c r="E28" s="13"/>
      <c r="F28" s="94" t="s">
        <v>111</v>
      </c>
      <c r="G28" s="38"/>
      <c r="H28" s="38"/>
      <c r="I28" s="83"/>
      <c r="J28" s="39"/>
      <c r="L28" s="117" t="s">
        <v>89</v>
      </c>
      <c r="M28" s="13"/>
      <c r="N28" s="159"/>
      <c r="O28" s="219"/>
      <c r="P28" s="40"/>
      <c r="R28" s="3"/>
    </row>
    <row r="29" spans="1:23" ht="15.75">
      <c r="A29" s="100" t="s">
        <v>441</v>
      </c>
      <c r="B29" s="165">
        <f t="shared" si="0"/>
        <v>2.743804780158618E-2</v>
      </c>
      <c r="C29" s="243">
        <v>1594.2909999999999</v>
      </c>
      <c r="D29" s="340">
        <f t="shared" si="1"/>
        <v>10.488756578947369</v>
      </c>
      <c r="E29" s="13"/>
      <c r="F29" s="347" t="s">
        <v>109</v>
      </c>
      <c r="G29" s="348"/>
      <c r="H29" s="348" t="s">
        <v>308</v>
      </c>
      <c r="I29" s="176"/>
      <c r="J29" s="324"/>
      <c r="L29" s="100" t="s">
        <v>226</v>
      </c>
      <c r="M29" s="13"/>
      <c r="N29" s="269">
        <f>IS!C16</f>
        <v>4213.4639399999996</v>
      </c>
      <c r="O29" s="219">
        <f>N29/$H$70</f>
        <v>27.720157499999999</v>
      </c>
      <c r="P29" s="40"/>
      <c r="R29" s="335"/>
    </row>
    <row r="30" spans="1:23" ht="15.75">
      <c r="A30" s="100" t="s">
        <v>442</v>
      </c>
      <c r="B30" s="165">
        <f t="shared" si="0"/>
        <v>6.7052286387398338E-2</v>
      </c>
      <c r="C30" s="243">
        <v>3896.0810000000001</v>
      </c>
      <c r="D30" s="340">
        <f t="shared" si="1"/>
        <v>25.632111842105264</v>
      </c>
      <c r="E30" s="13"/>
      <c r="F30" s="319" t="s">
        <v>84</v>
      </c>
      <c r="G30" s="248">
        <v>36800</v>
      </c>
      <c r="H30" s="346"/>
      <c r="I30" s="176"/>
      <c r="J30" s="324"/>
      <c r="L30" s="100" t="s">
        <v>205</v>
      </c>
      <c r="M30" s="13"/>
      <c r="N30" s="269">
        <f>IS!C23/IS!C6</f>
        <v>0</v>
      </c>
      <c r="O30" s="219">
        <f>N30/$H$70</f>
        <v>0</v>
      </c>
      <c r="P30" s="522">
        <v>0.02</v>
      </c>
      <c r="R30" s="3"/>
    </row>
    <row r="31" spans="1:23" ht="15.75">
      <c r="A31" s="100" t="s">
        <v>443</v>
      </c>
      <c r="B31" s="165">
        <f t="shared" si="0"/>
        <v>1.2358291783220884E-3</v>
      </c>
      <c r="C31" s="243">
        <v>71.808000000000007</v>
      </c>
      <c r="D31" s="340">
        <f t="shared" si="1"/>
        <v>0.47242105263157902</v>
      </c>
      <c r="E31" s="13"/>
      <c r="F31" s="319" t="s">
        <v>120</v>
      </c>
      <c r="G31" s="248">
        <v>36571</v>
      </c>
      <c r="H31" s="346"/>
      <c r="I31" s="176"/>
      <c r="J31" s="324"/>
      <c r="L31" s="100" t="s">
        <v>195</v>
      </c>
      <c r="M31" s="13"/>
      <c r="N31" s="269">
        <f>IS!C24/IS!C6</f>
        <v>0</v>
      </c>
      <c r="O31" s="219">
        <f>N31/$H$70</f>
        <v>0</v>
      </c>
      <c r="P31" s="40"/>
      <c r="R31" s="3"/>
    </row>
    <row r="32" spans="1:23" ht="15.75">
      <c r="A32" s="100" t="s">
        <v>453</v>
      </c>
      <c r="B32" s="165">
        <f t="shared" si="0"/>
        <v>8.6050939889851293E-3</v>
      </c>
      <c r="C32" s="243">
        <v>500</v>
      </c>
      <c r="D32" s="340">
        <f t="shared" si="1"/>
        <v>3.2894736842105261</v>
      </c>
      <c r="E32" s="13"/>
      <c r="F32" s="41"/>
      <c r="G32" s="13"/>
      <c r="H32" s="6"/>
      <c r="I32" s="176"/>
      <c r="J32" s="324"/>
      <c r="L32" s="100" t="s">
        <v>199</v>
      </c>
      <c r="M32" s="13"/>
      <c r="N32" s="269">
        <f>IS!C25/IS!C6</f>
        <v>0</v>
      </c>
      <c r="O32" s="219">
        <f>N32/$H$70</f>
        <v>0</v>
      </c>
      <c r="P32" s="40"/>
      <c r="Q32" s="66"/>
      <c r="R32" s="3"/>
    </row>
    <row r="33" spans="1:18" ht="16.5" thickBot="1">
      <c r="A33" s="100" t="s">
        <v>427</v>
      </c>
      <c r="B33" s="165">
        <f t="shared" si="0"/>
        <v>0</v>
      </c>
      <c r="C33" s="243">
        <v>0</v>
      </c>
      <c r="D33" s="340">
        <f t="shared" si="1"/>
        <v>0</v>
      </c>
      <c r="E33" s="13"/>
      <c r="F33" s="104" t="s">
        <v>14</v>
      </c>
      <c r="G33" s="105">
        <f>Debt!B19</f>
        <v>80017.632758491978</v>
      </c>
      <c r="H33" s="105"/>
      <c r="I33" s="176"/>
      <c r="J33" s="324"/>
      <c r="L33" s="102" t="s">
        <v>414</v>
      </c>
      <c r="M33" s="42"/>
      <c r="N33" s="272">
        <f>IS!C26/IS!C6</f>
        <v>0</v>
      </c>
      <c r="O33" s="220">
        <f>N33/$H$70</f>
        <v>0</v>
      </c>
      <c r="P33" s="81"/>
      <c r="R33" s="3"/>
    </row>
    <row r="34" spans="1:18" ht="16.5" thickBot="1">
      <c r="A34" s="100" t="s">
        <v>413</v>
      </c>
      <c r="B34" s="180">
        <f t="shared" si="0"/>
        <v>0</v>
      </c>
      <c r="C34" s="244">
        <v>0</v>
      </c>
      <c r="D34" s="341">
        <f t="shared" si="1"/>
        <v>0</v>
      </c>
      <c r="E34" s="13"/>
      <c r="F34" s="104" t="s">
        <v>15</v>
      </c>
      <c r="G34" s="249">
        <v>20</v>
      </c>
      <c r="H34" s="105"/>
      <c r="I34" s="176"/>
      <c r="J34" s="324"/>
      <c r="N34" s="195"/>
      <c r="R34" s="3"/>
    </row>
    <row r="35" spans="1:18" ht="15.75">
      <c r="A35" s="100" t="s">
        <v>107</v>
      </c>
      <c r="B35" s="165">
        <f>SUM(B18:B34)</f>
        <v>0.92706028366936111</v>
      </c>
      <c r="C35" s="193">
        <f>SUM(C18:C34)</f>
        <v>53866.947</v>
      </c>
      <c r="D35" s="340">
        <f>SUM(D18:D34)</f>
        <v>354.38780921052626</v>
      </c>
      <c r="E35" s="13"/>
      <c r="F35" s="104" t="s">
        <v>16</v>
      </c>
      <c r="G35" s="346">
        <v>42826</v>
      </c>
      <c r="H35" s="346"/>
      <c r="I35" s="176"/>
      <c r="J35" s="324"/>
      <c r="L35" s="93" t="s">
        <v>22</v>
      </c>
      <c r="M35" s="113"/>
      <c r="N35" s="257"/>
      <c r="O35" s="118"/>
      <c r="P35" s="39"/>
      <c r="R35" s="5"/>
    </row>
    <row r="36" spans="1:18" ht="15.75">
      <c r="A36" s="41"/>
      <c r="B36" s="13"/>
      <c r="C36" s="13"/>
      <c r="D36" s="40"/>
      <c r="E36" s="13"/>
      <c r="F36" s="104" t="s">
        <v>17</v>
      </c>
      <c r="G36" s="120">
        <f>Debt!E66</f>
        <v>3.5120616049811004</v>
      </c>
      <c r="H36" s="375" t="str">
        <f>IF(H33,Debt!#REF!," ")</f>
        <v xml:space="preserve"> </v>
      </c>
      <c r="I36" s="176"/>
      <c r="J36" s="324"/>
      <c r="L36" s="41"/>
      <c r="M36" s="166"/>
      <c r="N36" s="13"/>
      <c r="O36" s="13"/>
      <c r="P36" s="40"/>
      <c r="R36" s="5"/>
    </row>
    <row r="37" spans="1:18" ht="15.75">
      <c r="A37" s="41"/>
      <c r="B37" s="13"/>
      <c r="C37" s="13"/>
      <c r="D37" s="40"/>
      <c r="E37" s="13"/>
      <c r="F37" s="104"/>
      <c r="G37" s="13"/>
      <c r="H37" s="13"/>
      <c r="I37" s="176"/>
      <c r="J37" s="324"/>
      <c r="L37" s="100"/>
      <c r="M37" s="13"/>
      <c r="N37" s="146" t="s">
        <v>23</v>
      </c>
      <c r="O37" s="146" t="s">
        <v>24</v>
      </c>
      <c r="P37" s="168" t="s">
        <v>25</v>
      </c>
      <c r="R37" s="13"/>
    </row>
    <row r="38" spans="1:18" ht="15.75">
      <c r="A38" s="98" t="s">
        <v>367</v>
      </c>
      <c r="B38" s="13"/>
      <c r="C38" s="13"/>
      <c r="D38" s="343"/>
      <c r="E38" s="13"/>
      <c r="F38" s="100" t="s">
        <v>18</v>
      </c>
      <c r="G38" s="250">
        <v>6.5000000000000002E-2</v>
      </c>
      <c r="H38" s="250">
        <v>6.5000000000000002E-2</v>
      </c>
      <c r="I38" s="176"/>
      <c r="J38" s="324"/>
      <c r="L38" s="114" t="s">
        <v>26</v>
      </c>
      <c r="M38" s="13"/>
      <c r="N38" s="258"/>
      <c r="O38" s="258"/>
      <c r="P38" s="101"/>
      <c r="R38" s="13"/>
    </row>
    <row r="39" spans="1:18" ht="15.75">
      <c r="A39" s="100" t="s">
        <v>108</v>
      </c>
      <c r="B39" s="165">
        <f t="shared" ref="B39:B52" si="3">C39/$C$61</f>
        <v>0</v>
      </c>
      <c r="C39" s="243">
        <v>0</v>
      </c>
      <c r="D39" s="340">
        <f t="shared" ref="D39:D53" si="4">C39/$H$70</f>
        <v>0</v>
      </c>
      <c r="E39" s="13"/>
      <c r="F39" s="100" t="s">
        <v>19</v>
      </c>
      <c r="G39" s="251">
        <v>1.4999999999999999E-2</v>
      </c>
      <c r="H39" s="251">
        <v>1.4999999999999999E-2</v>
      </c>
      <c r="I39" s="176"/>
      <c r="J39" s="324"/>
      <c r="L39" s="115" t="s">
        <v>27</v>
      </c>
      <c r="M39" s="13"/>
      <c r="N39" s="267">
        <v>15</v>
      </c>
      <c r="O39" s="259" t="s">
        <v>28</v>
      </c>
      <c r="P39" s="185">
        <v>0</v>
      </c>
      <c r="R39" s="3"/>
    </row>
    <row r="40" spans="1:18" ht="15.75">
      <c r="A40" s="98" t="s">
        <v>422</v>
      </c>
      <c r="B40" s="165">
        <f t="shared" si="3"/>
        <v>6.3401472001443525E-3</v>
      </c>
      <c r="C40" s="243">
        <v>368.39499999999998</v>
      </c>
      <c r="D40" s="340">
        <f t="shared" si="4"/>
        <v>2.4236513157894737</v>
      </c>
      <c r="E40" s="13"/>
      <c r="F40" s="104" t="s">
        <v>313</v>
      </c>
      <c r="G40" s="106">
        <f>Debt!E64</f>
        <v>0.08</v>
      </c>
      <c r="H40" s="106">
        <f>SUM(H38:H39)</f>
        <v>0.08</v>
      </c>
      <c r="I40" s="176"/>
      <c r="J40" s="324"/>
      <c r="L40" s="115" t="s">
        <v>242</v>
      </c>
      <c r="M40" s="13"/>
      <c r="N40" s="267">
        <v>5</v>
      </c>
      <c r="O40" s="259" t="s">
        <v>30</v>
      </c>
      <c r="P40" s="185">
        <v>0</v>
      </c>
      <c r="R40" s="3"/>
    </row>
    <row r="41" spans="1:18" ht="15.75">
      <c r="A41" s="98" t="s">
        <v>165</v>
      </c>
      <c r="B41" s="165">
        <f t="shared" si="3"/>
        <v>0</v>
      </c>
      <c r="C41" s="243">
        <v>0</v>
      </c>
      <c r="D41" s="340">
        <f t="shared" si="4"/>
        <v>0</v>
      </c>
      <c r="E41" s="13"/>
      <c r="F41" s="100"/>
      <c r="G41" s="97"/>
      <c r="H41" s="97"/>
      <c r="I41" s="97"/>
      <c r="J41" s="183"/>
      <c r="L41" s="115" t="s">
        <v>29</v>
      </c>
      <c r="M41" s="13"/>
      <c r="N41" s="267">
        <v>20</v>
      </c>
      <c r="O41" s="259" t="s">
        <v>30</v>
      </c>
      <c r="P41" s="185">
        <v>0</v>
      </c>
      <c r="R41" s="335"/>
    </row>
    <row r="42" spans="1:18" ht="15.75">
      <c r="A42" s="98" t="s">
        <v>159</v>
      </c>
      <c r="B42" s="165">
        <f t="shared" si="3"/>
        <v>0</v>
      </c>
      <c r="C42" s="243">
        <v>0</v>
      </c>
      <c r="D42" s="340">
        <f t="shared" si="4"/>
        <v>0</v>
      </c>
      <c r="E42" s="13"/>
      <c r="F42" s="100" t="s">
        <v>121</v>
      </c>
      <c r="G42" s="249">
        <v>0</v>
      </c>
      <c r="H42" s="249">
        <v>0</v>
      </c>
      <c r="I42" s="97" t="s">
        <v>122</v>
      </c>
      <c r="J42" s="184"/>
      <c r="L42" s="115"/>
      <c r="M42" s="13"/>
      <c r="N42" s="260"/>
      <c r="O42" s="260"/>
      <c r="P42" s="261"/>
      <c r="R42" s="221"/>
    </row>
    <row r="43" spans="1:18" ht="15.75">
      <c r="A43" s="100" t="s">
        <v>444</v>
      </c>
      <c r="B43" s="165">
        <f t="shared" si="3"/>
        <v>2.5815281966955386E-2</v>
      </c>
      <c r="C43" s="243">
        <v>1500</v>
      </c>
      <c r="D43" s="340">
        <f t="shared" si="4"/>
        <v>9.8684210526315788</v>
      </c>
      <c r="E43" s="13"/>
      <c r="F43" s="100" t="s">
        <v>20</v>
      </c>
      <c r="G43" s="252">
        <v>0.02</v>
      </c>
      <c r="H43" s="97"/>
      <c r="I43" s="97"/>
      <c r="J43" s="184"/>
      <c r="L43" s="114" t="s">
        <v>31</v>
      </c>
      <c r="M43" s="13"/>
      <c r="N43" s="260"/>
      <c r="O43" s="260"/>
      <c r="P43" s="186"/>
    </row>
    <row r="44" spans="1:18" ht="15.75">
      <c r="A44" s="98" t="s">
        <v>160</v>
      </c>
      <c r="B44" s="165">
        <f t="shared" si="3"/>
        <v>0</v>
      </c>
      <c r="C44" s="243">
        <v>0</v>
      </c>
      <c r="D44" s="340">
        <f t="shared" si="4"/>
        <v>0</v>
      </c>
      <c r="E44" s="13"/>
      <c r="F44" s="100" t="s">
        <v>21</v>
      </c>
      <c r="G44" s="252">
        <v>0</v>
      </c>
      <c r="H44" s="13"/>
      <c r="I44" s="13"/>
      <c r="J44" s="40"/>
      <c r="L44" s="115" t="s">
        <v>27</v>
      </c>
      <c r="M44" s="13"/>
      <c r="N44" s="267">
        <v>30</v>
      </c>
      <c r="O44" s="259" t="s">
        <v>30</v>
      </c>
      <c r="P44" s="186">
        <v>0.1</v>
      </c>
    </row>
    <row r="45" spans="1:18" ht="15.75">
      <c r="A45" s="98" t="s">
        <v>169</v>
      </c>
      <c r="B45" s="165">
        <f t="shared" si="3"/>
        <v>0</v>
      </c>
      <c r="C45" s="243">
        <v>0</v>
      </c>
      <c r="D45" s="340">
        <f t="shared" si="4"/>
        <v>0</v>
      </c>
      <c r="E45" s="13"/>
      <c r="F45" s="41"/>
      <c r="G45" s="13"/>
      <c r="H45" s="13"/>
      <c r="I45" s="13"/>
      <c r="J45" s="40"/>
      <c r="L45" s="115" t="s">
        <v>242</v>
      </c>
      <c r="M45" s="13"/>
      <c r="N45" s="267">
        <v>5</v>
      </c>
      <c r="O45" s="259" t="s">
        <v>30</v>
      </c>
      <c r="P45" s="185">
        <v>0</v>
      </c>
    </row>
    <row r="46" spans="1:18" ht="16.5" thickBot="1">
      <c r="A46" s="98" t="s">
        <v>161</v>
      </c>
      <c r="B46" s="165">
        <f t="shared" si="3"/>
        <v>0</v>
      </c>
      <c r="C46" s="243">
        <v>0</v>
      </c>
      <c r="D46" s="340">
        <f t="shared" si="4"/>
        <v>0</v>
      </c>
      <c r="E46" s="13"/>
      <c r="F46" s="347" t="s">
        <v>110</v>
      </c>
      <c r="G46" s="13"/>
      <c r="H46" s="13"/>
      <c r="I46" s="13"/>
      <c r="J46" s="40"/>
      <c r="L46" s="116" t="s">
        <v>29</v>
      </c>
      <c r="M46" s="42"/>
      <c r="N46" s="268">
        <v>20</v>
      </c>
      <c r="O46" s="262" t="s">
        <v>30</v>
      </c>
      <c r="P46" s="187">
        <v>0</v>
      </c>
    </row>
    <row r="47" spans="1:18" ht="16.5" thickBot="1">
      <c r="A47" s="98" t="s">
        <v>162</v>
      </c>
      <c r="B47" s="165">
        <f t="shared" si="3"/>
        <v>0</v>
      </c>
      <c r="C47" s="243">
        <v>0</v>
      </c>
      <c r="D47" s="340">
        <f t="shared" si="4"/>
        <v>0</v>
      </c>
      <c r="E47" s="13"/>
      <c r="F47" s="319" t="s">
        <v>85</v>
      </c>
      <c r="G47" s="248">
        <v>36617</v>
      </c>
      <c r="H47" s="13"/>
      <c r="I47" s="13"/>
      <c r="J47" s="40"/>
    </row>
    <row r="48" spans="1:18" ht="15.75">
      <c r="A48" s="98" t="s">
        <v>166</v>
      </c>
      <c r="B48" s="165">
        <f t="shared" si="3"/>
        <v>0</v>
      </c>
      <c r="C48" s="243">
        <v>0</v>
      </c>
      <c r="D48" s="340">
        <f t="shared" si="4"/>
        <v>0</v>
      </c>
      <c r="E48" s="64"/>
      <c r="F48" s="100" t="s">
        <v>12</v>
      </c>
      <c r="G48" s="253">
        <v>0</v>
      </c>
      <c r="H48" s="143">
        <f>G48*C10</f>
        <v>0</v>
      </c>
      <c r="I48" s="13"/>
      <c r="J48" s="40"/>
      <c r="L48" s="93" t="s">
        <v>368</v>
      </c>
      <c r="M48" s="113"/>
      <c r="N48" s="274"/>
      <c r="O48" s="275"/>
      <c r="P48" s="357"/>
    </row>
    <row r="49" spans="1:16" ht="16.5" thickBot="1">
      <c r="A49" s="100" t="s">
        <v>207</v>
      </c>
      <c r="B49" s="165">
        <f t="shared" si="3"/>
        <v>2.4549101941519158E-2</v>
      </c>
      <c r="C49" s="193">
        <f>IDC!$H$34</f>
        <v>1426.4284604527859</v>
      </c>
      <c r="D49" s="340">
        <f t="shared" si="4"/>
        <v>9.3843977661367486</v>
      </c>
      <c r="E49" s="43"/>
      <c r="F49" s="102" t="s">
        <v>13</v>
      </c>
      <c r="G49" s="265">
        <f>1-G48</f>
        <v>1</v>
      </c>
      <c r="H49" s="144">
        <f>G49*C10</f>
        <v>17431.535343135838</v>
      </c>
      <c r="I49" s="42"/>
      <c r="J49" s="81"/>
      <c r="L49" s="178"/>
      <c r="M49" s="173"/>
      <c r="N49" s="155"/>
      <c r="O49" s="6"/>
      <c r="P49" s="356"/>
    </row>
    <row r="50" spans="1:16" ht="16.5" thickBot="1">
      <c r="A50" s="100" t="s">
        <v>170</v>
      </c>
      <c r="B50" s="165">
        <f t="shared" si="3"/>
        <v>4.3025469944925647E-3</v>
      </c>
      <c r="C50" s="243">
        <v>250</v>
      </c>
      <c r="D50" s="340">
        <f t="shared" si="4"/>
        <v>1.6447368421052631</v>
      </c>
      <c r="E50" s="13"/>
      <c r="L50" s="115" t="s">
        <v>125</v>
      </c>
      <c r="M50" s="6"/>
      <c r="N50" s="258">
        <v>0.35</v>
      </c>
      <c r="O50" s="6"/>
      <c r="P50" s="356"/>
    </row>
    <row r="51" spans="1:16" ht="15.75">
      <c r="A51" s="100" t="s">
        <v>262</v>
      </c>
      <c r="B51" s="165">
        <f t="shared" si="3"/>
        <v>1.1932638227527537E-2</v>
      </c>
      <c r="C51" s="193">
        <f>SUM(C21:C34)*N55</f>
        <v>693.34735000000012</v>
      </c>
      <c r="D51" s="340">
        <f t="shared" si="4"/>
        <v>4.5614957236842111</v>
      </c>
      <c r="E51" s="84"/>
      <c r="F51" s="93" t="s">
        <v>190</v>
      </c>
      <c r="G51" s="112"/>
      <c r="H51" s="118"/>
      <c r="I51" s="198"/>
      <c r="J51" s="39"/>
      <c r="L51" s="115" t="s">
        <v>276</v>
      </c>
      <c r="M51" s="6"/>
      <c r="N51" s="255">
        <v>7.0000000000000007E-2</v>
      </c>
      <c r="O51" s="358" t="s">
        <v>224</v>
      </c>
      <c r="P51" s="356"/>
    </row>
    <row r="52" spans="1:16" ht="15.75">
      <c r="A52" s="95" t="s">
        <v>171</v>
      </c>
      <c r="B52" s="180">
        <f t="shared" si="3"/>
        <v>0</v>
      </c>
      <c r="C52" s="244">
        <v>0</v>
      </c>
      <c r="D52" s="341">
        <f t="shared" si="4"/>
        <v>0</v>
      </c>
      <c r="E52" s="84"/>
      <c r="F52" s="41"/>
      <c r="G52" s="13"/>
      <c r="H52" s="13"/>
      <c r="I52" s="109"/>
      <c r="J52" s="40"/>
      <c r="L52" s="115" t="s">
        <v>244</v>
      </c>
      <c r="M52" s="6"/>
      <c r="N52" s="255">
        <v>0</v>
      </c>
      <c r="O52" s="358" t="s">
        <v>224</v>
      </c>
      <c r="P52" s="356"/>
    </row>
    <row r="53" spans="1:16" ht="15.75">
      <c r="A53" s="100" t="s">
        <v>107</v>
      </c>
      <c r="B53" s="165">
        <f>SUM(B39:B52)</f>
        <v>7.293971633063899E-2</v>
      </c>
      <c r="C53" s="193">
        <f>SUM(C39:C52)</f>
        <v>4238.1708104527861</v>
      </c>
      <c r="D53" s="340">
        <f t="shared" si="4"/>
        <v>27.882702700347277</v>
      </c>
      <c r="E53" s="13"/>
      <c r="F53" s="103" t="s">
        <v>292</v>
      </c>
      <c r="G53" s="13"/>
      <c r="H53" s="529"/>
      <c r="I53" s="529"/>
      <c r="J53" s="40"/>
      <c r="L53" s="115" t="s">
        <v>200</v>
      </c>
      <c r="M53" s="6"/>
      <c r="N53" s="255">
        <v>0</v>
      </c>
      <c r="O53" s="358" t="s">
        <v>224</v>
      </c>
      <c r="P53" s="356"/>
    </row>
    <row r="54" spans="1:16" ht="15.75">
      <c r="A54" s="41"/>
      <c r="B54" s="13"/>
      <c r="C54" s="13"/>
      <c r="D54" s="40"/>
      <c r="E54" s="13"/>
      <c r="F54" s="100" t="s">
        <v>294</v>
      </c>
      <c r="G54" s="13"/>
      <c r="H54" s="247">
        <v>20</v>
      </c>
      <c r="I54" s="269"/>
      <c r="J54" s="40"/>
      <c r="L54" s="115" t="s">
        <v>229</v>
      </c>
      <c r="M54" s="13"/>
      <c r="N54" s="255">
        <v>1.4999999999999999E-2</v>
      </c>
      <c r="O54" s="358" t="s">
        <v>224</v>
      </c>
      <c r="P54" s="40"/>
    </row>
    <row r="55" spans="1:16" ht="16.5" thickBot="1">
      <c r="A55" s="98" t="s">
        <v>101</v>
      </c>
      <c r="B55" s="13"/>
      <c r="C55" s="193"/>
      <c r="D55" s="342"/>
      <c r="E55" s="13"/>
      <c r="F55" s="100" t="s">
        <v>403</v>
      </c>
      <c r="G55" s="13"/>
      <c r="H55" s="246">
        <v>5.5</v>
      </c>
      <c r="I55" s="152"/>
      <c r="J55" s="40"/>
      <c r="L55" s="116" t="s">
        <v>263</v>
      </c>
      <c r="M55" s="42"/>
      <c r="N55" s="270">
        <v>0.05</v>
      </c>
      <c r="O55" s="359" t="s">
        <v>224</v>
      </c>
      <c r="P55" s="81"/>
    </row>
    <row r="56" spans="1:16" ht="15.75">
      <c r="A56" s="98" t="s">
        <v>163</v>
      </c>
      <c r="B56" s="165">
        <f>C56/$C$61</f>
        <v>0</v>
      </c>
      <c r="C56" s="243">
        <v>0</v>
      </c>
      <c r="D56" s="340">
        <f>C56/$H$70</f>
        <v>0</v>
      </c>
      <c r="E56" s="13"/>
      <c r="F56" s="41"/>
      <c r="G56" s="13"/>
      <c r="H56" s="13"/>
      <c r="I56" s="6"/>
      <c r="J56" s="40"/>
    </row>
    <row r="57" spans="1:16" ht="15.75">
      <c r="A57" s="98" t="s">
        <v>164</v>
      </c>
      <c r="B57" s="165">
        <f>C57/$C$61</f>
        <v>0</v>
      </c>
      <c r="C57" s="243">
        <v>0</v>
      </c>
      <c r="D57" s="340">
        <f>C57/$H$70</f>
        <v>0</v>
      </c>
      <c r="E57" s="13"/>
      <c r="F57" s="103" t="s">
        <v>295</v>
      </c>
      <c r="G57" s="13"/>
      <c r="H57" s="13"/>
      <c r="I57" s="13"/>
      <c r="J57" s="40"/>
    </row>
    <row r="58" spans="1:16" ht="15.75">
      <c r="A58" s="103" t="s">
        <v>419</v>
      </c>
      <c r="B58" s="180">
        <f>C58/$C$61</f>
        <v>0</v>
      </c>
      <c r="C58" s="244">
        <v>0</v>
      </c>
      <c r="D58" s="340">
        <f>C58/$H$70</f>
        <v>0</v>
      </c>
      <c r="E58" s="13"/>
      <c r="F58" s="100" t="s">
        <v>294</v>
      </c>
      <c r="G58" s="13"/>
      <c r="H58" s="269">
        <f>H20-H54</f>
        <v>0</v>
      </c>
      <c r="I58" s="109"/>
      <c r="J58" s="40"/>
    </row>
    <row r="59" spans="1:16" ht="15.75">
      <c r="A59" s="100" t="s">
        <v>107</v>
      </c>
      <c r="B59" s="165">
        <f>SUM(B56:B58)</f>
        <v>0</v>
      </c>
      <c r="C59" s="110">
        <f>SUM(C56:C58)</f>
        <v>0</v>
      </c>
      <c r="D59" s="340">
        <f>C59/$H$70</f>
        <v>0</v>
      </c>
      <c r="E59" s="13"/>
      <c r="F59" s="100" t="s">
        <v>403</v>
      </c>
      <c r="G59" s="97"/>
      <c r="H59" s="152"/>
      <c r="I59" s="109"/>
      <c r="J59" s="40"/>
    </row>
    <row r="60" spans="1:16">
      <c r="A60" s="41"/>
      <c r="B60" s="13"/>
      <c r="C60" s="13"/>
      <c r="D60" s="343"/>
      <c r="E60" s="13"/>
      <c r="F60" s="41"/>
      <c r="G60" s="13"/>
      <c r="H60" s="13"/>
      <c r="I60" s="13"/>
      <c r="J60" s="40"/>
    </row>
    <row r="61" spans="1:16" ht="16.5" thickBot="1">
      <c r="A61" s="182" t="s">
        <v>102</v>
      </c>
      <c r="B61" s="179">
        <f>B59+B53+B35</f>
        <v>1</v>
      </c>
      <c r="C61" s="194">
        <f>C59+C53+C35</f>
        <v>58105.117810452786</v>
      </c>
      <c r="D61" s="344">
        <f>C61/$H$70</f>
        <v>382.27051191087361</v>
      </c>
      <c r="E61" s="13"/>
      <c r="F61" s="100" t="s">
        <v>411</v>
      </c>
      <c r="G61" s="97"/>
      <c r="H61" s="152">
        <f>P17</f>
        <v>0</v>
      </c>
      <c r="I61" s="109"/>
      <c r="J61" s="40"/>
    </row>
    <row r="62" spans="1:16" ht="15.75">
      <c r="E62" s="13"/>
      <c r="F62" s="100"/>
      <c r="G62" s="13"/>
      <c r="H62" s="258"/>
      <c r="I62" s="109"/>
      <c r="J62" s="40"/>
    </row>
    <row r="63" spans="1:16" ht="16.5" thickBot="1">
      <c r="E63" s="13"/>
      <c r="F63" s="102" t="s">
        <v>416</v>
      </c>
      <c r="G63" s="42"/>
      <c r="H63" s="271">
        <f>H70*H74</f>
        <v>136800</v>
      </c>
      <c r="I63" s="199"/>
      <c r="J63" s="81"/>
    </row>
    <row r="64" spans="1:16" ht="16.5" thickBot="1">
      <c r="A64" s="94" t="s">
        <v>32</v>
      </c>
      <c r="B64" s="118"/>
      <c r="C64" s="198"/>
      <c r="D64" s="119"/>
      <c r="E64" s="13"/>
    </row>
    <row r="65" spans="1:10" ht="15.75">
      <c r="A65" s="41"/>
      <c r="B65" s="13"/>
      <c r="C65" s="13"/>
      <c r="D65" s="40"/>
      <c r="E65" s="13"/>
      <c r="F65" s="93" t="s">
        <v>5</v>
      </c>
      <c r="G65" s="196"/>
      <c r="H65" s="198"/>
      <c r="I65" s="38"/>
      <c r="J65" s="39"/>
    </row>
    <row r="66" spans="1:10" ht="15.75">
      <c r="A66" s="336" t="s">
        <v>260</v>
      </c>
      <c r="B66" s="337"/>
      <c r="C66" s="338">
        <f>D61</f>
        <v>382.27051191087361</v>
      </c>
      <c r="D66" s="40"/>
      <c r="E66" s="13"/>
      <c r="F66" s="178"/>
      <c r="G66" s="150"/>
      <c r="H66" s="109"/>
      <c r="I66" s="13"/>
      <c r="J66" s="40"/>
    </row>
    <row r="67" spans="1:10" ht="15.75">
      <c r="A67" s="514"/>
      <c r="B67" s="176"/>
      <c r="C67" s="176"/>
      <c r="D67" s="40"/>
      <c r="E67" s="13"/>
      <c r="F67" s="100" t="s">
        <v>123</v>
      </c>
      <c r="G67" s="13"/>
      <c r="H67" s="216">
        <f>H12*H13</f>
        <v>152</v>
      </c>
      <c r="I67" s="13"/>
      <c r="J67" s="40"/>
    </row>
    <row r="68" spans="1:10" ht="15.75">
      <c r="A68" s="100"/>
      <c r="B68" s="97"/>
      <c r="C68" s="96" t="s">
        <v>34</v>
      </c>
      <c r="D68" s="168" t="s">
        <v>33</v>
      </c>
      <c r="E68" s="13"/>
      <c r="F68" s="100" t="s">
        <v>428</v>
      </c>
      <c r="G68" s="13"/>
      <c r="H68" s="173">
        <f>IF(B14="yes",#REF!,0)</f>
        <v>0</v>
      </c>
      <c r="I68" s="13"/>
      <c r="J68" s="40"/>
    </row>
    <row r="69" spans="1:10" ht="15.75">
      <c r="A69" s="103" t="s">
        <v>0</v>
      </c>
      <c r="B69" s="107"/>
      <c r="C69" s="108" t="e">
        <f>Debt!E68</f>
        <v>#DIV/0!</v>
      </c>
      <c r="D69" s="345" t="e">
        <f>Debt!E69</f>
        <v>#DIV/0!</v>
      </c>
      <c r="E69" s="13"/>
      <c r="F69" s="103" t="s">
        <v>90</v>
      </c>
      <c r="G69" s="13"/>
      <c r="H69" s="334">
        <v>0</v>
      </c>
      <c r="I69" s="13"/>
      <c r="J69" s="40"/>
    </row>
    <row r="70" spans="1:10" ht="15.75">
      <c r="A70" s="41"/>
      <c r="B70" s="97"/>
      <c r="C70" s="13"/>
      <c r="D70" s="40"/>
      <c r="E70" s="13"/>
      <c r="F70" s="117" t="s">
        <v>298</v>
      </c>
      <c r="G70" s="43"/>
      <c r="H70" s="352">
        <f>SUM(H67:H69)</f>
        <v>152</v>
      </c>
      <c r="I70" s="13"/>
      <c r="J70" s="40"/>
    </row>
    <row r="71" spans="1:10" ht="15.75">
      <c r="A71" s="103" t="s">
        <v>323</v>
      </c>
      <c r="B71" s="13"/>
      <c r="C71" s="13"/>
      <c r="D71" s="40"/>
      <c r="E71" s="13"/>
      <c r="F71" s="41"/>
      <c r="G71" s="13"/>
      <c r="H71" s="13"/>
      <c r="I71" s="13"/>
      <c r="J71" s="40"/>
    </row>
    <row r="72" spans="1:10" ht="15.75">
      <c r="A72" s="100" t="s">
        <v>424</v>
      </c>
      <c r="B72" s="97"/>
      <c r="C72" s="145">
        <f>'Returns Analysis'!C39</f>
        <v>7.7196463942527771E-2</v>
      </c>
      <c r="D72" s="40"/>
      <c r="E72" s="13"/>
      <c r="F72" s="100" t="s">
        <v>340</v>
      </c>
      <c r="G72" s="13"/>
      <c r="H72" s="245">
        <v>140</v>
      </c>
      <c r="I72" s="13"/>
      <c r="J72" s="40"/>
    </row>
    <row r="73" spans="1:10" ht="15.75">
      <c r="A73" s="100" t="str">
        <f>CONCATENATE("20 Yrs After-Tax Cashflow with ",H24,"x EBITDA Exit Multiple Residual Value")</f>
        <v>20 Yrs After-Tax Cashflow with 5x EBITDA Exit Multiple Residual Value</v>
      </c>
      <c r="B73" s="13"/>
      <c r="C73" s="145">
        <f>'Returns Analysis'!C46</f>
        <v>0.10423843264579771</v>
      </c>
      <c r="D73" s="168" t="s">
        <v>423</v>
      </c>
      <c r="F73" s="100" t="s">
        <v>257</v>
      </c>
      <c r="G73" s="13"/>
      <c r="H73" s="245">
        <v>400</v>
      </c>
      <c r="I73" s="13"/>
      <c r="J73" s="40"/>
    </row>
    <row r="74" spans="1:10" ht="16.5" thickBot="1">
      <c r="A74" s="100" t="str">
        <f>CONCATENATE("20 Yrs After-Tax Cashflow with ",H25*100,"% Initial Project Cost Residual Value")</f>
        <v>20 Yrs After-Tax Cashflow with 20% Initial Project Cost Residual Value</v>
      </c>
      <c r="B74" s="13"/>
      <c r="C74" s="145">
        <f>'Returns Analysis'!C53</f>
        <v>9.5325055718421939E-2</v>
      </c>
      <c r="D74" s="526">
        <v>0.12</v>
      </c>
      <c r="E74" s="97"/>
      <c r="F74" s="102" t="s">
        <v>167</v>
      </c>
      <c r="G74" s="42"/>
      <c r="H74" s="254">
        <v>900</v>
      </c>
      <c r="I74" s="42"/>
      <c r="J74" s="81"/>
    </row>
    <row r="75" spans="1:10" ht="15.75">
      <c r="A75" s="100" t="str">
        <f>CONCATENATE("20 Yrs After-Tax Cashflow with $",H26,"/kW Residual Value")</f>
        <v>20 Yrs After-Tax Cashflow with $200/kW Residual Value</v>
      </c>
      <c r="B75" s="13"/>
      <c r="C75" s="145">
        <f>'Returns Analysis'!C60</f>
        <v>0.11290541291236877</v>
      </c>
      <c r="D75" s="101"/>
      <c r="E75" s="97"/>
    </row>
    <row r="76" spans="1:10">
      <c r="A76" s="41"/>
      <c r="B76" s="13"/>
      <c r="C76" s="13"/>
      <c r="D76" s="40"/>
      <c r="E76" s="13"/>
    </row>
    <row r="77" spans="1:10" ht="15.75">
      <c r="A77" s="103" t="s">
        <v>87</v>
      </c>
      <c r="B77" s="96">
        <f>IS!C7</f>
        <v>2001</v>
      </c>
      <c r="C77" s="96">
        <f>IS!D7</f>
        <v>2002</v>
      </c>
      <c r="D77" s="168">
        <f>IS!E7</f>
        <v>2003</v>
      </c>
      <c r="E77" s="13"/>
    </row>
    <row r="78" spans="1:10" ht="15.75">
      <c r="A78" s="100" t="s">
        <v>98</v>
      </c>
      <c r="B78" s="110">
        <f>IS!C32</f>
        <v>6688</v>
      </c>
      <c r="C78" s="110">
        <f>IS!D32</f>
        <v>10032</v>
      </c>
      <c r="D78" s="164">
        <f>IS!E32</f>
        <v>10032</v>
      </c>
      <c r="E78" s="13"/>
    </row>
    <row r="79" spans="1:10" ht="15.75">
      <c r="A79" s="100" t="s">
        <v>99</v>
      </c>
      <c r="B79" s="110">
        <f>IS!C45</f>
        <v>589.41657354875838</v>
      </c>
      <c r="C79" s="110">
        <f>IS!D45</f>
        <v>941.87779738073823</v>
      </c>
      <c r="D79" s="164">
        <f>IS!E45</f>
        <v>1011.5181761819574</v>
      </c>
      <c r="E79" s="13"/>
    </row>
    <row r="80" spans="1:10" ht="15.75">
      <c r="A80" s="100" t="s">
        <v>100</v>
      </c>
      <c r="B80" s="110">
        <f>'Returns Analysis'!C13</f>
        <v>4006.5056126928353</v>
      </c>
      <c r="C80" s="110">
        <f>'Returns Analysis'!D13</f>
        <v>3702.7721611372526</v>
      </c>
      <c r="D80" s="164">
        <f>'Returns Analysis'!E13</f>
        <v>3814.5560874357143</v>
      </c>
      <c r="E80" s="13"/>
    </row>
    <row r="81" spans="1:9" ht="16.5" thickBot="1">
      <c r="A81" s="102" t="s">
        <v>353</v>
      </c>
      <c r="B81" s="111">
        <f>'Returns Analysis'!C21</f>
        <v>3462.0731399747706</v>
      </c>
      <c r="C81" s="111">
        <f>'Returns Analysis'!D21</f>
        <v>2320.3336039662372</v>
      </c>
      <c r="D81" s="188">
        <f>'Returns Analysis'!E21</f>
        <v>2315.0769230769329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7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0"/>
    </row>
    <row r="100" spans="5:5" ht="15.75">
      <c r="E100" s="110"/>
    </row>
    <row r="101" spans="5:5" ht="15.75">
      <c r="E101" s="110"/>
    </row>
    <row r="102" spans="5:5" ht="15.75">
      <c r="E102" s="110"/>
    </row>
    <row r="118" spans="9:9" ht="15.75">
      <c r="I118" s="157"/>
    </row>
    <row r="119" spans="9:9" ht="15.75">
      <c r="I119" s="157"/>
    </row>
    <row r="120" spans="9:9" ht="15.75">
      <c r="I120" s="157"/>
    </row>
    <row r="121" spans="9:9" ht="15.75">
      <c r="I121" s="157"/>
    </row>
    <row r="122" spans="9:9" ht="15.75">
      <c r="I122" s="157"/>
    </row>
    <row r="123" spans="9:9" ht="15.75">
      <c r="I123" s="157"/>
    </row>
    <row r="124" spans="9:9" ht="15.75">
      <c r="I124" s="157"/>
    </row>
    <row r="125" spans="9:9" ht="15.75">
      <c r="I125" s="157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8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3"/>
      <c r="M136" s="152"/>
      <c r="N136" s="152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2"/>
      <c r="K137" s="152"/>
      <c r="L137" s="151"/>
      <c r="M137" s="154"/>
      <c r="N137" s="154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4"/>
      <c r="K138" s="154"/>
      <c r="L138" s="156"/>
      <c r="M138" s="155"/>
      <c r="N138" s="155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5"/>
      <c r="K139" s="155"/>
      <c r="L139" s="156"/>
      <c r="M139" s="155"/>
      <c r="N139" s="155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5"/>
      <c r="K140" s="15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8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2"/>
    </row>
    <row r="151" spans="10:10" ht="15.75">
      <c r="J151" s="154"/>
    </row>
    <row r="152" spans="10:10" ht="15.75">
      <c r="J152" s="155"/>
    </row>
    <row r="153" spans="10:10" ht="15.75">
      <c r="J153" s="155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200025</xdr:rowOff>
                  </from>
                  <to>
                    <xdr:col>7</xdr:col>
                    <xdr:colOff>1190625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9525</xdr:rowOff>
                  </from>
                  <to>
                    <xdr:col>9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180975</xdr:rowOff>
                  </from>
                  <to>
                    <xdr:col>6</xdr:col>
                    <xdr:colOff>1190625</xdr:colOff>
                    <xdr:row>28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3" zoomScale="75" zoomScaleNormal="75" workbookViewId="0">
      <selection activeCell="D44" sqref="D44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CIPCO</v>
      </c>
    </row>
    <row r="3" spans="1:63" ht="12" customHeight="1">
      <c r="B3" s="26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4" spans="1:63" ht="18.75">
      <c r="B4" s="167" t="s">
        <v>389</v>
      </c>
      <c r="C4" s="67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63" ht="18.75">
      <c r="B5" s="20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1:63">
      <c r="B6" s="13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6"/>
      <c r="C7" s="97"/>
      <c r="D7" s="208">
        <f>(Assumptions!H19/12)</f>
        <v>0.66666666666666663</v>
      </c>
      <c r="E7" s="208">
        <f>D7+1</f>
        <v>1.6666666666666665</v>
      </c>
      <c r="F7" s="208">
        <f t="shared" ref="F7:Y7" si="0">E7+1</f>
        <v>2.6666666666666665</v>
      </c>
      <c r="G7" s="208">
        <f t="shared" si="0"/>
        <v>3.6666666666666665</v>
      </c>
      <c r="H7" s="208">
        <f t="shared" si="0"/>
        <v>4.6666666666666661</v>
      </c>
      <c r="I7" s="208">
        <f t="shared" si="0"/>
        <v>5.6666666666666661</v>
      </c>
      <c r="J7" s="208">
        <f t="shared" si="0"/>
        <v>6.6666666666666661</v>
      </c>
      <c r="K7" s="208">
        <f t="shared" si="0"/>
        <v>7.6666666666666661</v>
      </c>
      <c r="L7" s="208">
        <f t="shared" si="0"/>
        <v>8.6666666666666661</v>
      </c>
      <c r="M7" s="208">
        <f t="shared" si="0"/>
        <v>9.6666666666666661</v>
      </c>
      <c r="N7" s="208">
        <f t="shared" si="0"/>
        <v>10.666666666666666</v>
      </c>
      <c r="O7" s="208">
        <f t="shared" si="0"/>
        <v>11.666666666666666</v>
      </c>
      <c r="P7" s="208">
        <f t="shared" si="0"/>
        <v>12.666666666666666</v>
      </c>
      <c r="Q7" s="208">
        <f t="shared" si="0"/>
        <v>13.666666666666666</v>
      </c>
      <c r="R7" s="208">
        <f t="shared" si="0"/>
        <v>14.666666666666666</v>
      </c>
      <c r="S7" s="208">
        <f t="shared" si="0"/>
        <v>15.666666666666666</v>
      </c>
      <c r="T7" s="208">
        <f t="shared" si="0"/>
        <v>16.666666666666664</v>
      </c>
      <c r="U7" s="208">
        <f t="shared" si="0"/>
        <v>17.666666666666664</v>
      </c>
      <c r="V7" s="208">
        <f t="shared" si="0"/>
        <v>18.666666666666664</v>
      </c>
      <c r="W7" s="208">
        <f t="shared" si="0"/>
        <v>19.666666666666664</v>
      </c>
      <c r="X7" s="208">
        <f t="shared" si="0"/>
        <v>20.666666666666664</v>
      </c>
      <c r="Y7" s="208">
        <f t="shared" si="0"/>
        <v>21.666666666666664</v>
      </c>
      <c r="Z7" s="208">
        <f t="shared" ref="Z7:AG7" si="1">Y7+1</f>
        <v>22.666666666666664</v>
      </c>
      <c r="AA7" s="208">
        <f t="shared" si="1"/>
        <v>23.666666666666664</v>
      </c>
      <c r="AB7" s="208">
        <f t="shared" si="1"/>
        <v>24.666666666666664</v>
      </c>
      <c r="AC7" s="208">
        <f t="shared" si="1"/>
        <v>25.666666666666664</v>
      </c>
      <c r="AD7" s="208">
        <f t="shared" si="1"/>
        <v>26.666666666666664</v>
      </c>
      <c r="AE7" s="208">
        <f t="shared" si="1"/>
        <v>27.666666666666664</v>
      </c>
      <c r="AF7" s="208">
        <f t="shared" si="1"/>
        <v>28.666666666666664</v>
      </c>
      <c r="AG7" s="208">
        <f t="shared" si="1"/>
        <v>29.666666666666664</v>
      </c>
      <c r="AH7" s="208">
        <f>AG7+1</f>
        <v>30.666666666666664</v>
      </c>
    </row>
    <row r="8" spans="1:63" ht="16.5" thickBot="1">
      <c r="B8" s="205"/>
      <c r="C8" s="205"/>
      <c r="D8" s="506">
        <f>YEAR(Assumptions!H18)</f>
        <v>2001</v>
      </c>
      <c r="E8" s="506">
        <f t="shared" ref="E8:X8" si="2">D8+1</f>
        <v>2002</v>
      </c>
      <c r="F8" s="506">
        <f t="shared" si="2"/>
        <v>2003</v>
      </c>
      <c r="G8" s="506">
        <f t="shared" si="2"/>
        <v>2004</v>
      </c>
      <c r="H8" s="506">
        <f t="shared" si="2"/>
        <v>2005</v>
      </c>
      <c r="I8" s="506">
        <f t="shared" si="2"/>
        <v>2006</v>
      </c>
      <c r="J8" s="506">
        <f t="shared" si="2"/>
        <v>2007</v>
      </c>
      <c r="K8" s="506">
        <f t="shared" si="2"/>
        <v>2008</v>
      </c>
      <c r="L8" s="506">
        <f t="shared" si="2"/>
        <v>2009</v>
      </c>
      <c r="M8" s="506">
        <f t="shared" si="2"/>
        <v>2010</v>
      </c>
      <c r="N8" s="506">
        <f t="shared" si="2"/>
        <v>2011</v>
      </c>
      <c r="O8" s="506">
        <f t="shared" si="2"/>
        <v>2012</v>
      </c>
      <c r="P8" s="506">
        <f t="shared" si="2"/>
        <v>2013</v>
      </c>
      <c r="Q8" s="506">
        <f t="shared" si="2"/>
        <v>2014</v>
      </c>
      <c r="R8" s="506">
        <f t="shared" si="2"/>
        <v>2015</v>
      </c>
      <c r="S8" s="506">
        <f t="shared" si="2"/>
        <v>2016</v>
      </c>
      <c r="T8" s="506">
        <f t="shared" si="2"/>
        <v>2017</v>
      </c>
      <c r="U8" s="506">
        <f t="shared" si="2"/>
        <v>2018</v>
      </c>
      <c r="V8" s="506">
        <f t="shared" si="2"/>
        <v>2019</v>
      </c>
      <c r="W8" s="506">
        <f t="shared" si="2"/>
        <v>2020</v>
      </c>
      <c r="X8" s="506">
        <f t="shared" si="2"/>
        <v>2021</v>
      </c>
      <c r="Y8" s="506">
        <f>X8+1</f>
        <v>2022</v>
      </c>
      <c r="Z8" s="506">
        <f t="shared" ref="Z8:AG8" si="3">Y8+1</f>
        <v>2023</v>
      </c>
      <c r="AA8" s="506">
        <f t="shared" si="3"/>
        <v>2024</v>
      </c>
      <c r="AB8" s="506">
        <f t="shared" si="3"/>
        <v>2025</v>
      </c>
      <c r="AC8" s="506">
        <f t="shared" si="3"/>
        <v>2026</v>
      </c>
      <c r="AD8" s="506">
        <f t="shared" si="3"/>
        <v>2027</v>
      </c>
      <c r="AE8" s="506">
        <f t="shared" si="3"/>
        <v>2028</v>
      </c>
      <c r="AF8" s="506">
        <f t="shared" si="3"/>
        <v>2029</v>
      </c>
      <c r="AG8" s="506">
        <f t="shared" si="3"/>
        <v>2030</v>
      </c>
      <c r="AH8" s="506">
        <f>AG8+1</f>
        <v>2031</v>
      </c>
    </row>
    <row r="9" spans="1:63">
      <c r="B9" s="97"/>
      <c r="C9" s="97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</row>
    <row r="10" spans="1:63">
      <c r="A10" s="12"/>
      <c r="B10" s="483" t="s">
        <v>402</v>
      </c>
      <c r="C10" s="13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1"/>
      <c r="AG10" s="351"/>
      <c r="AH10" s="351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4"/>
      <c r="C11" s="13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3" t="s">
        <v>293</v>
      </c>
      <c r="C12" s="13"/>
      <c r="D12" s="485">
        <f>Assumptions!$H$55</f>
        <v>5.5</v>
      </c>
      <c r="E12" s="485">
        <f>Assumptions!$H$55</f>
        <v>5.5</v>
      </c>
      <c r="F12" s="485">
        <f>Assumptions!$H$55</f>
        <v>5.5</v>
      </c>
      <c r="G12" s="485">
        <f>Assumptions!$H$55</f>
        <v>5.5</v>
      </c>
      <c r="H12" s="485">
        <f>Assumptions!$H$55</f>
        <v>5.5</v>
      </c>
      <c r="I12" s="485">
        <f>Assumptions!$H$55</f>
        <v>5.5</v>
      </c>
      <c r="J12" s="485">
        <f>Assumptions!$H$55</f>
        <v>5.5</v>
      </c>
      <c r="K12" s="485">
        <f>Assumptions!$H$55</f>
        <v>5.5</v>
      </c>
      <c r="L12" s="485">
        <f>Assumptions!$H$55</f>
        <v>5.5</v>
      </c>
      <c r="M12" s="485">
        <f>Assumptions!$H$55</f>
        <v>5.5</v>
      </c>
      <c r="N12" s="485">
        <f>Assumptions!$H$55</f>
        <v>5.5</v>
      </c>
      <c r="O12" s="485">
        <f>Assumptions!$H$55</f>
        <v>5.5</v>
      </c>
      <c r="P12" s="485">
        <f>Assumptions!$H$55</f>
        <v>5.5</v>
      </c>
      <c r="Q12" s="485">
        <f>Assumptions!$H$55</f>
        <v>5.5</v>
      </c>
      <c r="R12" s="485">
        <f>Assumptions!$H$55</f>
        <v>5.5</v>
      </c>
      <c r="S12" s="485">
        <f>Assumptions!$H$55</f>
        <v>5.5</v>
      </c>
      <c r="T12" s="485">
        <f>Assumptions!$H$55</f>
        <v>5.5</v>
      </c>
      <c r="U12" s="485">
        <f>Assumptions!$H$55</f>
        <v>5.5</v>
      </c>
      <c r="V12" s="485">
        <f>Assumptions!$H$55</f>
        <v>5.5</v>
      </c>
      <c r="W12" s="485">
        <f>Assumptions!$H$55</f>
        <v>5.5</v>
      </c>
      <c r="X12" s="485">
        <f>Assumptions!$H$55</f>
        <v>5.5</v>
      </c>
      <c r="Y12" s="485">
        <f>Assumptions!$H$55</f>
        <v>5.5</v>
      </c>
      <c r="Z12" s="485">
        <f>Assumptions!$H$55</f>
        <v>5.5</v>
      </c>
      <c r="AA12" s="485">
        <f>Assumptions!$H$55</f>
        <v>5.5</v>
      </c>
      <c r="AB12" s="485">
        <f>Assumptions!$H$55</f>
        <v>5.5</v>
      </c>
      <c r="AC12" s="485">
        <f>Assumptions!$H$55</f>
        <v>5.5</v>
      </c>
      <c r="AD12" s="485">
        <f>Assumptions!$H$55</f>
        <v>5.5</v>
      </c>
      <c r="AE12" s="485">
        <f>Assumptions!$H$55</f>
        <v>5.5</v>
      </c>
      <c r="AF12" s="485">
        <f>Assumptions!$H$55</f>
        <v>5.5</v>
      </c>
      <c r="AG12" s="485">
        <f>Assumptions!$H$55</f>
        <v>5.5</v>
      </c>
      <c r="AH12" s="485">
        <f>Assumptions!$H$55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3"/>
      <c r="C13" s="13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51"/>
      <c r="AH13" s="351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3" t="s">
        <v>302</v>
      </c>
      <c r="C14" s="13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351"/>
      <c r="AA14" s="351"/>
      <c r="AB14" s="351"/>
      <c r="AC14" s="351"/>
      <c r="AD14" s="351"/>
      <c r="AE14" s="351"/>
      <c r="AF14" s="351"/>
      <c r="AG14" s="351"/>
      <c r="AH14" s="351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232</v>
      </c>
      <c r="C15" s="12"/>
      <c r="D15" s="486">
        <v>5.4933333333333332</v>
      </c>
      <c r="E15" s="486">
        <v>5.6581333333333328</v>
      </c>
      <c r="F15" s="486">
        <v>5.6457561666666676</v>
      </c>
      <c r="G15" s="486">
        <v>5.7213364508333333</v>
      </c>
      <c r="H15" s="486">
        <v>5.6997641986416658</v>
      </c>
      <c r="I15" s="486">
        <v>5.7712527665568336</v>
      </c>
      <c r="J15" s="486">
        <v>5.8419008607681322</v>
      </c>
      <c r="K15" s="486">
        <v>5.9115937131422074</v>
      </c>
      <c r="L15" s="486">
        <v>6.088941524536474</v>
      </c>
      <c r="M15" s="486">
        <v>6.1596167386605574</v>
      </c>
      <c r="N15" s="486">
        <v>6.3444052408203753</v>
      </c>
      <c r="O15" s="486">
        <v>6.4159239908078041</v>
      </c>
      <c r="P15" s="486">
        <v>6.6084017105320383</v>
      </c>
      <c r="Q15" s="486">
        <v>6.680604618110074</v>
      </c>
      <c r="R15" s="486">
        <v>6.7511921386033125</v>
      </c>
      <c r="S15" s="486">
        <v>6.8200023661698452</v>
      </c>
      <c r="T15" s="486">
        <v>6.8868651344656273</v>
      </c>
      <c r="U15" s="486">
        <v>6.951601666729605</v>
      </c>
      <c r="V15" s="486">
        <v>7.014024212308402</v>
      </c>
      <c r="W15" s="486">
        <v>7.0739356691218687</v>
      </c>
      <c r="X15" s="486">
        <v>7.1311291915530655</v>
      </c>
      <c r="Y15" s="486">
        <v>7.1853877832279265</v>
      </c>
      <c r="Z15" s="486">
        <v>7.2396463749027831</v>
      </c>
      <c r="AA15" s="486">
        <v>7.2939049665776494</v>
      </c>
      <c r="AB15" s="486">
        <v>7.3481635582525087</v>
      </c>
      <c r="AC15" s="486">
        <v>7.402422149927367</v>
      </c>
      <c r="AD15" s="486">
        <v>7.4566807416022245</v>
      </c>
      <c r="AE15" s="486">
        <v>7.5109393332770908</v>
      </c>
      <c r="AF15" s="486">
        <v>7.5651979249519501</v>
      </c>
      <c r="AG15" s="486">
        <v>7.6194565166268085</v>
      </c>
      <c r="AH15" s="48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233</v>
      </c>
      <c r="C16" s="12"/>
      <c r="D16" s="486">
        <v>4.3775000000000004</v>
      </c>
      <c r="E16" s="486">
        <v>4.5088249999999999</v>
      </c>
      <c r="F16" s="486">
        <v>4.7351503333333334</v>
      </c>
      <c r="G16" s="486">
        <v>4.8772048433333328</v>
      </c>
      <c r="H16" s="486">
        <v>5.023520988633333</v>
      </c>
      <c r="I16" s="486">
        <v>5.1742266182923329</v>
      </c>
      <c r="J16" s="486">
        <v>5.3294534168411039</v>
      </c>
      <c r="K16" s="486">
        <v>5.2782086724483994</v>
      </c>
      <c r="L16" s="486">
        <v>5.2190927353169778</v>
      </c>
      <c r="M16" s="486">
        <v>5.0396864225404565</v>
      </c>
      <c r="N16" s="486">
        <v>4.9601713700959298</v>
      </c>
      <c r="O16" s="486">
        <v>4.8713496967244438</v>
      </c>
      <c r="P16" s="486">
        <v>4.8951123781718797</v>
      </c>
      <c r="Q16" s="486">
        <v>4.9159166057791106</v>
      </c>
      <c r="R16" s="486">
        <v>4.8037328678523572</v>
      </c>
      <c r="S16" s="486">
        <v>4.8141193172963614</v>
      </c>
      <c r="T16" s="486">
        <v>4.8208055941259396</v>
      </c>
      <c r="U16" s="486">
        <v>4.9654297619497179</v>
      </c>
      <c r="V16" s="486">
        <v>5.114392654808209</v>
      </c>
      <c r="W16" s="486">
        <v>5.117315164896671</v>
      </c>
      <c r="X16" s="486">
        <v>5.27083461984357</v>
      </c>
      <c r="Y16" s="486">
        <v>5.4289596584388775</v>
      </c>
      <c r="Z16" s="486">
        <v>5.5870846970341832</v>
      </c>
      <c r="AA16" s="486">
        <v>5.7452097356294916</v>
      </c>
      <c r="AB16" s="486">
        <v>5.9033347742247999</v>
      </c>
      <c r="AC16" s="486">
        <v>6.0614598128201083</v>
      </c>
      <c r="AD16" s="486">
        <v>6.2195848514154086</v>
      </c>
      <c r="AE16" s="486">
        <v>6.377709890010717</v>
      </c>
      <c r="AF16" s="486">
        <v>6.5358349286060253</v>
      </c>
      <c r="AG16" s="486">
        <v>6.6939599672013337</v>
      </c>
      <c r="AH16" s="48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230</v>
      </c>
      <c r="C17" s="12"/>
      <c r="D17" s="487">
        <v>0</v>
      </c>
      <c r="E17" s="487">
        <v>0</v>
      </c>
      <c r="F17" s="487">
        <v>0</v>
      </c>
      <c r="G17" s="487">
        <v>0</v>
      </c>
      <c r="H17" s="487">
        <v>0</v>
      </c>
      <c r="I17" s="487">
        <v>0</v>
      </c>
      <c r="J17" s="487">
        <v>0</v>
      </c>
      <c r="K17" s="487">
        <v>0</v>
      </c>
      <c r="L17" s="487">
        <v>0</v>
      </c>
      <c r="M17" s="487">
        <v>0</v>
      </c>
      <c r="N17" s="487">
        <v>0</v>
      </c>
      <c r="O17" s="487">
        <v>0</v>
      </c>
      <c r="P17" s="487">
        <v>0</v>
      </c>
      <c r="Q17" s="487">
        <v>0</v>
      </c>
      <c r="R17" s="487">
        <v>0</v>
      </c>
      <c r="S17" s="487">
        <v>0</v>
      </c>
      <c r="T17" s="487">
        <v>0</v>
      </c>
      <c r="U17" s="487">
        <v>0</v>
      </c>
      <c r="V17" s="487">
        <v>0</v>
      </c>
      <c r="W17" s="487">
        <v>0</v>
      </c>
      <c r="X17" s="487">
        <v>0</v>
      </c>
      <c r="Y17" s="487">
        <v>0</v>
      </c>
      <c r="Z17" s="487">
        <v>0</v>
      </c>
      <c r="AA17" s="487">
        <v>0</v>
      </c>
      <c r="AB17" s="487">
        <v>0</v>
      </c>
      <c r="AC17" s="487">
        <v>0</v>
      </c>
      <c r="AD17" s="487">
        <v>0</v>
      </c>
      <c r="AE17" s="487">
        <v>0</v>
      </c>
      <c r="AF17" s="487">
        <v>0</v>
      </c>
      <c r="AG17" s="487">
        <v>0</v>
      </c>
      <c r="AH17" s="487">
        <v>0</v>
      </c>
      <c r="AI17" s="488"/>
      <c r="AJ17" s="488"/>
      <c r="AK17" s="488"/>
      <c r="AL17" s="488"/>
      <c r="AM17" s="488"/>
      <c r="AN17" s="488"/>
      <c r="AO17" s="488"/>
      <c r="AP17" s="488"/>
      <c r="AQ17" s="488"/>
      <c r="AR17" s="48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89">
        <v>0</v>
      </c>
      <c r="E18" s="489">
        <v>0</v>
      </c>
      <c r="F18" s="489">
        <v>0</v>
      </c>
      <c r="G18" s="489">
        <v>0</v>
      </c>
      <c r="H18" s="489">
        <v>0</v>
      </c>
      <c r="I18" s="489">
        <v>0</v>
      </c>
      <c r="J18" s="489">
        <v>0</v>
      </c>
      <c r="K18" s="489">
        <v>0</v>
      </c>
      <c r="L18" s="489">
        <v>0</v>
      </c>
      <c r="M18" s="489">
        <v>0</v>
      </c>
      <c r="N18" s="489">
        <v>0</v>
      </c>
      <c r="O18" s="489">
        <v>0</v>
      </c>
      <c r="P18" s="489">
        <v>0</v>
      </c>
      <c r="Q18" s="489">
        <v>0</v>
      </c>
      <c r="R18" s="489">
        <v>0</v>
      </c>
      <c r="S18" s="489">
        <v>0</v>
      </c>
      <c r="T18" s="489">
        <v>0</v>
      </c>
      <c r="U18" s="489">
        <v>0</v>
      </c>
      <c r="V18" s="489">
        <v>0</v>
      </c>
      <c r="W18" s="489">
        <v>0</v>
      </c>
      <c r="X18" s="489">
        <v>0</v>
      </c>
      <c r="Y18" s="489">
        <v>0</v>
      </c>
      <c r="Z18" s="489">
        <v>0</v>
      </c>
      <c r="AA18" s="489">
        <v>0</v>
      </c>
      <c r="AB18" s="489">
        <v>0</v>
      </c>
      <c r="AC18" s="489">
        <v>0</v>
      </c>
      <c r="AD18" s="489">
        <v>0</v>
      </c>
      <c r="AE18" s="489">
        <v>0</v>
      </c>
      <c r="AF18" s="489">
        <v>0</v>
      </c>
      <c r="AG18" s="489">
        <v>0</v>
      </c>
      <c r="AH18" s="48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0">
        <v>1</v>
      </c>
      <c r="B19" s="13" t="s">
        <v>115</v>
      </c>
      <c r="C19" s="491"/>
      <c r="D19" s="492">
        <f t="shared" ref="D19:AH19" si="4">CHOOSE($A$19,D15,D16,D17,D18)</f>
        <v>5.4933333333333332</v>
      </c>
      <c r="E19" s="492">
        <f t="shared" si="4"/>
        <v>5.6581333333333328</v>
      </c>
      <c r="F19" s="492">
        <f t="shared" si="4"/>
        <v>5.6457561666666676</v>
      </c>
      <c r="G19" s="492">
        <f t="shared" si="4"/>
        <v>5.7213364508333333</v>
      </c>
      <c r="H19" s="492">
        <f t="shared" si="4"/>
        <v>5.6997641986416658</v>
      </c>
      <c r="I19" s="492">
        <f t="shared" si="4"/>
        <v>5.7712527665568336</v>
      </c>
      <c r="J19" s="492">
        <f t="shared" si="4"/>
        <v>5.8419008607681322</v>
      </c>
      <c r="K19" s="492">
        <f t="shared" si="4"/>
        <v>5.9115937131422074</v>
      </c>
      <c r="L19" s="492">
        <f t="shared" si="4"/>
        <v>6.088941524536474</v>
      </c>
      <c r="M19" s="492">
        <f t="shared" si="4"/>
        <v>6.1596167386605574</v>
      </c>
      <c r="N19" s="492">
        <f t="shared" si="4"/>
        <v>6.3444052408203753</v>
      </c>
      <c r="O19" s="492">
        <f t="shared" si="4"/>
        <v>6.4159239908078041</v>
      </c>
      <c r="P19" s="492">
        <f t="shared" si="4"/>
        <v>6.6084017105320383</v>
      </c>
      <c r="Q19" s="492">
        <f t="shared" si="4"/>
        <v>6.680604618110074</v>
      </c>
      <c r="R19" s="492">
        <f t="shared" si="4"/>
        <v>6.7511921386033125</v>
      </c>
      <c r="S19" s="492">
        <f t="shared" si="4"/>
        <v>6.8200023661698452</v>
      </c>
      <c r="T19" s="492">
        <f t="shared" si="4"/>
        <v>6.8868651344656273</v>
      </c>
      <c r="U19" s="492">
        <f t="shared" si="4"/>
        <v>6.951601666729605</v>
      </c>
      <c r="V19" s="492">
        <f t="shared" si="4"/>
        <v>7.014024212308402</v>
      </c>
      <c r="W19" s="492">
        <f t="shared" si="4"/>
        <v>7.0739356691218687</v>
      </c>
      <c r="X19" s="492">
        <f t="shared" si="4"/>
        <v>7.1311291915530655</v>
      </c>
      <c r="Y19" s="492">
        <f t="shared" si="4"/>
        <v>7.1853877832279265</v>
      </c>
      <c r="Z19" s="492">
        <f t="shared" si="4"/>
        <v>7.2396463749027831</v>
      </c>
      <c r="AA19" s="492">
        <f t="shared" si="4"/>
        <v>7.2939049665776494</v>
      </c>
      <c r="AB19" s="492">
        <f t="shared" si="4"/>
        <v>7.3481635582525087</v>
      </c>
      <c r="AC19" s="492">
        <f t="shared" si="4"/>
        <v>7.402422149927367</v>
      </c>
      <c r="AD19" s="492">
        <f t="shared" si="4"/>
        <v>7.4566807416022245</v>
      </c>
      <c r="AE19" s="492">
        <f t="shared" si="4"/>
        <v>7.5109393332770908</v>
      </c>
      <c r="AF19" s="492">
        <f t="shared" si="4"/>
        <v>7.5651979249519501</v>
      </c>
      <c r="AG19" s="492">
        <f t="shared" si="4"/>
        <v>7.6194565166268085</v>
      </c>
      <c r="AH19" s="49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1"/>
      <c r="D20" s="493"/>
      <c r="E20" s="493"/>
      <c r="F20" s="493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4"/>
      <c r="Z20" s="495"/>
      <c r="AA20" s="49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296</v>
      </c>
      <c r="C21" s="491"/>
      <c r="D21" s="496">
        <f>IF(AND(C7&lt;$D$7+Assumptions!$H$54,D7&lt;$D$7+Assumptions!$H$54),D12,IF(AND(C7&lt;$D$7+Assumptions!$H$54,D7&gt;$D$7+Assumptions!$H$54),D12*(1-$D$7)+D19*$D$7,D19))</f>
        <v>5.5</v>
      </c>
      <c r="E21" s="497">
        <f>IF(AND(D7&lt;$D$7+Assumptions!$H$54,E7&lt;$D$7+Assumptions!$H$54),E12,IF(AND(D7&lt;$D$7+Assumptions!$H$54,E7&gt;=$D$7+Assumptions!$H$54),E12*(1-$D$7)+E19*$D$7,E19))</f>
        <v>5.5</v>
      </c>
      <c r="F21" s="497">
        <f>IF(AND(E7&lt;$D$7+Assumptions!$H$54,F7&lt;$D$7+Assumptions!$H$54),F12,IF(AND(E7&lt;$D$7+Assumptions!$H$54,F7&gt;=$D$7+Assumptions!$H$54),F12*(1-$D$7)+F19*$D$7,F19))</f>
        <v>5.5</v>
      </c>
      <c r="G21" s="497">
        <f>IF(AND(F7&lt;$D$7+Assumptions!$H$54,G7&lt;$D$7+Assumptions!$H$54),G12,IF(AND(F7&lt;$D$7+Assumptions!$H$54,G7&gt;=$D$7+Assumptions!$H$54),G12*(1-$D$7)+G19*$D$7,G19))</f>
        <v>5.5</v>
      </c>
      <c r="H21" s="497">
        <f>IF(AND(G7&lt;$D$7+Assumptions!$H$54,H7&lt;$D$7+Assumptions!$H$54),H12,IF(AND(G7&lt;$D$7+Assumptions!$H$54,H7&gt;=$D$7+Assumptions!$H$54),H12*(1-$D$7)+H19*$D$7,H19))</f>
        <v>5.5</v>
      </c>
      <c r="I21" s="497">
        <f>IF(AND(H7&lt;$D$7+Assumptions!$H$54,I7&lt;$D$7+Assumptions!$H$54),I12,IF(AND(H7&lt;$D$7+Assumptions!$H$54,I7&gt;=$D$7+Assumptions!$H$54),I12*(1-$D$7)+I19*$D$7,I19))</f>
        <v>5.5</v>
      </c>
      <c r="J21" s="497">
        <f>IF(AND(I7&lt;$D$7+Assumptions!$H$54,J7&lt;$D$7+Assumptions!$H$54),J12,IF(AND(I7&lt;$D$7+Assumptions!$H$54,J7&gt;=$D$7+Assumptions!$H$54),J12*(1-$D$7)+J19*$D$7,J19))</f>
        <v>5.5</v>
      </c>
      <c r="K21" s="497">
        <f>IF(AND(J7&lt;$D$7+Assumptions!$H$54,K7&lt;$D$7+Assumptions!$H$54),K12,IF(AND(J7&lt;$D$7+Assumptions!$H$54,K7&gt;=$D$7+Assumptions!$H$54),K12*(1-$D$7)+K19*$D$7,K19))</f>
        <v>5.5</v>
      </c>
      <c r="L21" s="497">
        <f>IF(AND(K7&lt;$D$7+Assumptions!$H$54,L7&lt;$D$7+Assumptions!$H$54),L12,IF(AND(K7&lt;$D$7+Assumptions!$H$54,L7&gt;=$D$7+Assumptions!$H$54),L12*(1-$D$7)+L19*$D$7,L19))</f>
        <v>5.5</v>
      </c>
      <c r="M21" s="497">
        <f>IF(AND(L7&lt;$D$7+Assumptions!$H$54,M7&lt;$D$7+Assumptions!$H$54),M12,IF(AND(L7&lt;$D$7+Assumptions!$H$54,M7&gt;=$D$7+Assumptions!$H$54),M12*(1-$D$7)+M19*$D$7,M19))</f>
        <v>5.5</v>
      </c>
      <c r="N21" s="497">
        <f>IF(AND(M7&lt;$D$7+Assumptions!$H$54,N7&lt;$D$7+Assumptions!$H$54),N12,IF(AND(M7&lt;$D$7+Assumptions!$H$54,N7&gt;=$D$7+Assumptions!$H$54),N12*(1-$D$7)+N19*$D$7,N19))</f>
        <v>5.5</v>
      </c>
      <c r="O21" s="497">
        <f>IF(AND(N7&lt;$D$7+Assumptions!$H$54,O7&lt;$D$7+Assumptions!$H$54),O12,IF(AND(N7&lt;$D$7+Assumptions!$H$54,O7&gt;=$D$7+Assumptions!$H$54),O12*(1-$D$7)+O19*$D$7,O19))</f>
        <v>5.5</v>
      </c>
      <c r="P21" s="497">
        <f>IF(AND(O7&lt;$D$7+Assumptions!$H$54,P7&lt;$D$7+Assumptions!$H$54),P12,IF(AND(O7&lt;$D$7+Assumptions!$H$54,P7&gt;=$D$7+Assumptions!$H$54),P12*(1-$D$7)+P19*$D$7,P19))</f>
        <v>5.5</v>
      </c>
      <c r="Q21" s="497">
        <f>IF(AND(P7&lt;$D$7+Assumptions!$H$54,Q7&lt;$D$7+Assumptions!$H$54),Q12,IF(AND(P7&lt;$D$7+Assumptions!$H$54,Q7&gt;=$D$7+Assumptions!$H$54),Q12*(1-$D$7)+Q19*$D$7,Q19))</f>
        <v>5.5</v>
      </c>
      <c r="R21" s="498">
        <f>IF(AND(Q7&lt;$D$7+Assumptions!$H$54,R7&lt;$D$7+Assumptions!$H$54),R12,IF(AND(Q7&lt;$D$7+Assumptions!$H$54,R7&gt;=$D$7+Assumptions!$H$54),R12*(1-$D$7)+R19*$D$7,R19))</f>
        <v>5.5</v>
      </c>
      <c r="S21" s="496">
        <f>IF(AND(R7&lt;$D$7+Assumptions!$H$54,S7&lt;$D$7+Assumptions!$H$54),S12,IF(AND(R7&lt;$D$7+Assumptions!$H$54,S7&gt;=$D$7+Assumptions!$H$54),S12*(1-$D$7)+S19*$D$7,S19))</f>
        <v>5.5</v>
      </c>
      <c r="T21" s="497">
        <f>IF(AND(S7&lt;$D$7+Assumptions!$H$54,T7&lt;$D$7+Assumptions!$H$54),T12,IF(AND(S7&lt;$D$7+Assumptions!$H$54,T7&gt;=$D$7+Assumptions!$H$54),T12*(1-$D$7)+T19*$D$7,T19))</f>
        <v>5.5</v>
      </c>
      <c r="U21" s="497">
        <f>IF(AND(T7&lt;$D$7+Assumptions!$H$54,U7&lt;$D$7+Assumptions!$H$54),U12,IF(AND(T7&lt;$D$7+Assumptions!$H$54,U7&gt;=$D$7+Assumptions!$H$54),U12*(1-$D$7)+U19*$D$7,U19))</f>
        <v>5.5</v>
      </c>
      <c r="V21" s="497">
        <f>IF(AND(U7&lt;$D$7+Assumptions!$H$54,V7&lt;$D$7+Assumptions!$H$54),V12,IF(AND(U7&lt;$D$7+Assumptions!$H$54,V7&gt;=$D$7+Assumptions!$H$54),V12*(1-$D$7)+V19*$D$7,V19))</f>
        <v>5.5</v>
      </c>
      <c r="W21" s="497">
        <f>IF(AND(V7&lt;$D$7+Assumptions!$H$54,W7&lt;$D$7+Assumptions!$H$54),W12,IF(AND(V7&lt;$D$7+Assumptions!$H$54,W7&gt;=$D$7+Assumptions!$H$54),W12*(1-$D$7)+W19*$D$7,W19))</f>
        <v>5.5</v>
      </c>
      <c r="X21" s="497">
        <f>IF(AND(W7&lt;$D$7+Assumptions!$H$54,X7&lt;$D$7+Assumptions!$H$54),X12,IF(AND(W7&lt;$D$7+Assumptions!$H$54,X7&gt;=$D$7+Assumptions!$H$54),X12*(1-$D$7)+X19*$D$7,X19))</f>
        <v>6.5874194610353776</v>
      </c>
      <c r="Y21" s="497">
        <f>IF(AND(X7&lt;$D$7+Assumptions!$H$54,Y7&lt;$D$7+Assumptions!$H$54),Y12,IF(AND(X7&lt;$D$7+Assumptions!$H$54,Y7&gt;=$D$7+Assumptions!$H$54),Y12*(1-$D$7)+Y19*$D$7,Y19))</f>
        <v>7.1853877832279265</v>
      </c>
      <c r="Z21" s="497">
        <f>IF(AND(Y7&lt;$D$7+Assumptions!$H$54,Z7&lt;$D$7+Assumptions!$H$54),Z12,IF(AND(Y7&lt;$D$7+Assumptions!$H$54,Z7&gt;=$D$7+Assumptions!$H$54),Z12*(1-$D$7)+Z19*$D$7,Z19))</f>
        <v>7.2396463749027831</v>
      </c>
      <c r="AA21" s="497">
        <f>IF(AND(Z7&lt;$D$7+Assumptions!$H$54,AA7&lt;$D$7+Assumptions!$H$54),AA12,IF(AND(Z7&lt;$D$7+Assumptions!$H$54,AA7&gt;=$D$7+Assumptions!$H$54),AA12*(1-$D$7)+AA19*$D$7,AA19))</f>
        <v>7.2939049665776494</v>
      </c>
      <c r="AB21" s="497">
        <f>IF(AND(AA7&lt;$D$7+Assumptions!$H$54,AB7&lt;$D$7+Assumptions!$H$54),AB12,IF(AND(AA7&lt;$D$7+Assumptions!$H$54,AB7&gt;=$D$7+Assumptions!$H$54),AB12*(1-$D$7)+AB19*$D$7,AB19))</f>
        <v>7.3481635582525087</v>
      </c>
      <c r="AC21" s="497">
        <f>IF(AND(AB7&lt;$D$7+Assumptions!$H$54,AC7&lt;$D$7+Assumptions!$H$54),AC12,IF(AND(AB7&lt;$D$7+Assumptions!$H$54,AC7&gt;=$D$7+Assumptions!$H$54),AC12*(1-$D$7)+AC19*$D$7,AC19))</f>
        <v>7.402422149927367</v>
      </c>
      <c r="AD21" s="497">
        <f>IF(AND(AC7&lt;$D$7+Assumptions!$H$54,AD7&lt;$D$7+Assumptions!$H$54),AD12,IF(AND(AC7&lt;$D$7+Assumptions!$H$54,AD7&gt;=$D$7+Assumptions!$H$54),AD12*(1-$D$7)+AD19*$D$7,AD19))</f>
        <v>7.4566807416022245</v>
      </c>
      <c r="AE21" s="497">
        <f>IF(AND(AD7&lt;$D$7+Assumptions!$H$54,AE7&lt;$D$7+Assumptions!$H$54),AE12,IF(AND(AD7&lt;$D$7+Assumptions!$H$54,AE7&gt;=$D$7+Assumptions!$H$54),AE12*(1-$D$7)+AE19*$D$7,AE19))</f>
        <v>7.5109393332770908</v>
      </c>
      <c r="AF21" s="497">
        <f>IF(AND(AE7&lt;$D$7+Assumptions!$H$54,AF7&lt;$D$7+Assumptions!$H$54),AF12,IF(AND(AE7&lt;$D$7+Assumptions!$H$54,AF7&gt;=$D$7+Assumptions!$H$54),AF12*(1-$D$7)+AF19*$D$7,AF19))</f>
        <v>7.5651979249519501</v>
      </c>
      <c r="AG21" s="497">
        <f>IF(AND(AF7&lt;$D$7+Assumptions!$H$54,AG7&lt;$D$7+Assumptions!$H$54),AG12,IF(AND(AF7&lt;$D$7+Assumptions!$H$54,AG7&gt;=$D$7+Assumptions!$H$54),AG12*(1-$D$7)+AG19*$D$7,AG19))</f>
        <v>7.6194565166268085</v>
      </c>
      <c r="AH21" s="498">
        <f>IF(AND(AG7&lt;$D$7+Assumptions!$H$54,AH7&lt;$D$7+Assumptions!$H$54),AH12,IF(AND(AG7&lt;$D$7+Assumptions!$H$54,AH7&gt;=$D$7+Assumptions!$H$54),AH12*(1-$D$7)+AH19*$D$7,AH19))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1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4"/>
      <c r="Z22" s="495"/>
      <c r="AA22" s="49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3" t="s">
        <v>379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421</v>
      </c>
      <c r="C25" s="499"/>
      <c r="D25" s="487">
        <v>2.5</v>
      </c>
      <c r="E25" s="487">
        <v>2.5</v>
      </c>
      <c r="F25" s="487">
        <v>2.5</v>
      </c>
      <c r="G25" s="487">
        <v>2.5</v>
      </c>
      <c r="H25" s="487">
        <v>2.5</v>
      </c>
      <c r="I25" s="487">
        <v>2.5</v>
      </c>
      <c r="J25" s="487">
        <v>2.5</v>
      </c>
      <c r="K25" s="487">
        <v>2.5</v>
      </c>
      <c r="L25" s="487">
        <v>2.5</v>
      </c>
      <c r="M25" s="487">
        <v>2.5</v>
      </c>
      <c r="N25" s="487">
        <v>2.5</v>
      </c>
      <c r="O25" s="487">
        <v>2.5</v>
      </c>
      <c r="P25" s="487">
        <v>2.5</v>
      </c>
      <c r="Q25" s="487">
        <v>2.5</v>
      </c>
      <c r="R25" s="487">
        <v>2.5</v>
      </c>
      <c r="S25" s="487">
        <v>2.5</v>
      </c>
      <c r="T25" s="487">
        <v>2.5</v>
      </c>
      <c r="U25" s="487">
        <v>2.5</v>
      </c>
      <c r="V25" s="487">
        <v>2.5</v>
      </c>
      <c r="W25" s="487">
        <v>2.5</v>
      </c>
      <c r="X25" s="487">
        <v>2.5</v>
      </c>
      <c r="Y25" s="487">
        <v>2.5</v>
      </c>
      <c r="Z25" s="487">
        <v>2.5</v>
      </c>
      <c r="AA25" s="487">
        <v>2.5</v>
      </c>
      <c r="AB25" s="487">
        <v>2.5</v>
      </c>
      <c r="AC25" s="487">
        <v>2.5</v>
      </c>
      <c r="AD25" s="487">
        <v>2.5</v>
      </c>
      <c r="AE25" s="487">
        <v>2.5</v>
      </c>
      <c r="AF25" s="487">
        <v>2.5</v>
      </c>
      <c r="AG25" s="487">
        <v>2.5</v>
      </c>
      <c r="AH25" s="487">
        <v>2.5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227</v>
      </c>
      <c r="C26" s="13"/>
      <c r="D26" s="487">
        <v>2.5</v>
      </c>
      <c r="E26" s="487">
        <v>2.5</v>
      </c>
      <c r="F26" s="487">
        <v>2.5</v>
      </c>
      <c r="G26" s="487">
        <v>2.5</v>
      </c>
      <c r="H26" s="487">
        <v>2.5</v>
      </c>
      <c r="I26" s="487">
        <v>2.5</v>
      </c>
      <c r="J26" s="487">
        <v>2.5</v>
      </c>
      <c r="K26" s="487">
        <v>2.5</v>
      </c>
      <c r="L26" s="487">
        <v>2.5</v>
      </c>
      <c r="M26" s="487">
        <v>2.5</v>
      </c>
      <c r="N26" s="487">
        <v>2.5</v>
      </c>
      <c r="O26" s="487">
        <v>2.5</v>
      </c>
      <c r="P26" s="487">
        <v>2.5</v>
      </c>
      <c r="Q26" s="487">
        <v>2.5</v>
      </c>
      <c r="R26" s="487">
        <v>2.5</v>
      </c>
      <c r="S26" s="487">
        <v>2.5</v>
      </c>
      <c r="T26" s="487">
        <v>2.5</v>
      </c>
      <c r="U26" s="487">
        <v>2.5</v>
      </c>
      <c r="V26" s="487">
        <v>2.5</v>
      </c>
      <c r="W26" s="487">
        <v>2.5</v>
      </c>
      <c r="X26" s="487">
        <v>2.5</v>
      </c>
      <c r="Y26" s="487">
        <v>2.5</v>
      </c>
      <c r="Z26" s="487">
        <v>2.5</v>
      </c>
      <c r="AA26" s="487">
        <v>2.5</v>
      </c>
      <c r="AB26" s="487">
        <v>2.5</v>
      </c>
      <c r="AC26" s="487">
        <v>2.5</v>
      </c>
      <c r="AD26" s="487">
        <v>2.5</v>
      </c>
      <c r="AE26" s="487">
        <v>2.5</v>
      </c>
      <c r="AF26" s="487">
        <v>2.5</v>
      </c>
      <c r="AG26" s="487">
        <v>2.5</v>
      </c>
      <c r="AH26" s="48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0">
        <v>1.5</v>
      </c>
      <c r="E27" s="500">
        <v>1.5</v>
      </c>
      <c r="F27" s="500">
        <v>1.5</v>
      </c>
      <c r="G27" s="500">
        <v>1.5</v>
      </c>
      <c r="H27" s="500">
        <v>1.5</v>
      </c>
      <c r="I27" s="500">
        <v>1.5</v>
      </c>
      <c r="J27" s="500">
        <v>1.5</v>
      </c>
      <c r="K27" s="500">
        <v>1.5</v>
      </c>
      <c r="L27" s="500">
        <v>1.5</v>
      </c>
      <c r="M27" s="500">
        <v>1.5</v>
      </c>
      <c r="N27" s="500">
        <v>1.5</v>
      </c>
      <c r="O27" s="500">
        <v>1.5</v>
      </c>
      <c r="P27" s="500">
        <v>1.5</v>
      </c>
      <c r="Q27" s="500">
        <v>1.5</v>
      </c>
      <c r="R27" s="500">
        <v>1.5</v>
      </c>
      <c r="S27" s="500">
        <v>1.5</v>
      </c>
      <c r="T27" s="500">
        <v>1.5</v>
      </c>
      <c r="U27" s="500">
        <v>1.5</v>
      </c>
      <c r="V27" s="500">
        <v>1.5</v>
      </c>
      <c r="W27" s="500">
        <v>1.5</v>
      </c>
      <c r="X27" s="500">
        <v>1.5</v>
      </c>
      <c r="Y27" s="500">
        <v>1.5</v>
      </c>
      <c r="Z27" s="500">
        <v>1.5</v>
      </c>
      <c r="AA27" s="500">
        <v>1.5</v>
      </c>
      <c r="AB27" s="500">
        <v>1.5</v>
      </c>
      <c r="AC27" s="500">
        <v>1.5</v>
      </c>
      <c r="AD27" s="500">
        <v>1.5</v>
      </c>
      <c r="AE27" s="500">
        <v>1.5</v>
      </c>
      <c r="AF27" s="500">
        <v>1.5</v>
      </c>
      <c r="AG27" s="500">
        <v>1.5</v>
      </c>
      <c r="AH27" s="50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228</v>
      </c>
      <c r="C28" s="13"/>
      <c r="D28" s="501">
        <f>Assumptions!$N$54</f>
        <v>1.4999999999999999E-2</v>
      </c>
      <c r="E28" s="501">
        <f>Assumptions!$N$54</f>
        <v>1.4999999999999999E-2</v>
      </c>
      <c r="F28" s="501">
        <f>Assumptions!$N$54</f>
        <v>1.4999999999999999E-2</v>
      </c>
      <c r="G28" s="501">
        <f>Assumptions!$N$54</f>
        <v>1.4999999999999999E-2</v>
      </c>
      <c r="H28" s="501">
        <f>Assumptions!$N$54</f>
        <v>1.4999999999999999E-2</v>
      </c>
      <c r="I28" s="501">
        <f>Assumptions!$N$54</f>
        <v>1.4999999999999999E-2</v>
      </c>
      <c r="J28" s="501">
        <f>Assumptions!$N$54</f>
        <v>1.4999999999999999E-2</v>
      </c>
      <c r="K28" s="501">
        <f>Assumptions!$N$54</f>
        <v>1.4999999999999999E-2</v>
      </c>
      <c r="L28" s="501">
        <f>Assumptions!$N$54</f>
        <v>1.4999999999999999E-2</v>
      </c>
      <c r="M28" s="501">
        <f>Assumptions!$N$54</f>
        <v>1.4999999999999999E-2</v>
      </c>
      <c r="N28" s="501">
        <f>Assumptions!$N$54</f>
        <v>1.4999999999999999E-2</v>
      </c>
      <c r="O28" s="501">
        <f>Assumptions!$N$54</f>
        <v>1.4999999999999999E-2</v>
      </c>
      <c r="P28" s="501">
        <f>Assumptions!$N$54</f>
        <v>1.4999999999999999E-2</v>
      </c>
      <c r="Q28" s="501">
        <f>Assumptions!$N$54</f>
        <v>1.4999999999999999E-2</v>
      </c>
      <c r="R28" s="501">
        <f>Assumptions!$N$54</f>
        <v>1.4999999999999999E-2</v>
      </c>
      <c r="S28" s="501">
        <f>Assumptions!$N$54</f>
        <v>1.4999999999999999E-2</v>
      </c>
      <c r="T28" s="501">
        <f>Assumptions!$N$54</f>
        <v>1.4999999999999999E-2</v>
      </c>
      <c r="U28" s="501">
        <f>Assumptions!$N$54</f>
        <v>1.4999999999999999E-2</v>
      </c>
      <c r="V28" s="501">
        <f>Assumptions!$N$54</f>
        <v>1.4999999999999999E-2</v>
      </c>
      <c r="W28" s="501">
        <f>Assumptions!$N$54</f>
        <v>1.4999999999999999E-2</v>
      </c>
      <c r="X28" s="501">
        <f>Assumptions!$N$54</f>
        <v>1.4999999999999999E-2</v>
      </c>
      <c r="Y28" s="501">
        <f>Assumptions!$N$54</f>
        <v>1.4999999999999999E-2</v>
      </c>
      <c r="Z28" s="501">
        <f>Assumptions!$N$54</f>
        <v>1.4999999999999999E-2</v>
      </c>
      <c r="AA28" s="501">
        <f>Assumptions!$N$54</f>
        <v>1.4999999999999999E-2</v>
      </c>
      <c r="AB28" s="501">
        <f>Assumptions!$N$54</f>
        <v>1.4999999999999999E-2</v>
      </c>
      <c r="AC28" s="501">
        <f>Assumptions!$N$54</f>
        <v>1.4999999999999999E-2</v>
      </c>
      <c r="AD28" s="501">
        <f>Assumptions!$N$54</f>
        <v>1.4999999999999999E-2</v>
      </c>
      <c r="AE28" s="501">
        <f>Assumptions!$N$54</f>
        <v>1.4999999999999999E-2</v>
      </c>
      <c r="AF28" s="501">
        <f>Assumptions!$N$54</f>
        <v>1.4999999999999999E-2</v>
      </c>
      <c r="AG28" s="501">
        <f>Assumptions!$N$54</f>
        <v>1.4999999999999999E-2</v>
      </c>
      <c r="AH28" s="50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0">
        <f>Assumptions!U13</f>
        <v>1</v>
      </c>
      <c r="B30" s="43" t="s">
        <v>225</v>
      </c>
      <c r="C30" s="12"/>
      <c r="D30" s="50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2.5374999999999996</v>
      </c>
      <c r="E30" s="50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2.5374999999999996</v>
      </c>
      <c r="F30" s="50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2.5374999999999996</v>
      </c>
      <c r="G30" s="50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2.5374999999999996</v>
      </c>
      <c r="H30" s="50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2.5374999999999996</v>
      </c>
      <c r="I30" s="50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2.5374999999999996</v>
      </c>
      <c r="J30" s="50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2.5374999999999996</v>
      </c>
      <c r="K30" s="50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2.5374999999999996</v>
      </c>
      <c r="L30" s="50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2.5374999999999996</v>
      </c>
      <c r="M30" s="50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2.5374999999999996</v>
      </c>
      <c r="N30" s="50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2.5374999999999996</v>
      </c>
      <c r="O30" s="50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2.5374999999999996</v>
      </c>
      <c r="P30" s="50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2.5374999999999996</v>
      </c>
      <c r="Q30" s="50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2.5374999999999996</v>
      </c>
      <c r="R30" s="50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2.5374999999999996</v>
      </c>
      <c r="S30" s="50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2.5374999999999996</v>
      </c>
      <c r="T30" s="50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2.5374999999999996</v>
      </c>
      <c r="U30" s="50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2.5374999999999996</v>
      </c>
      <c r="V30" s="50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2.5374999999999996</v>
      </c>
      <c r="W30" s="50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2.5374999999999996</v>
      </c>
      <c r="X30" s="50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2.5374999999999996</v>
      </c>
      <c r="Y30" s="50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2.5374999999999996</v>
      </c>
      <c r="Z30" s="50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2.5374999999999996</v>
      </c>
      <c r="AA30" s="50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2.5374999999999996</v>
      </c>
      <c r="AB30" s="50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2.5374999999999996</v>
      </c>
      <c r="AC30" s="50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2.5374999999999996</v>
      </c>
      <c r="AD30" s="50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2.5374999999999996</v>
      </c>
      <c r="AE30" s="50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2.5374999999999996</v>
      </c>
      <c r="AF30" s="50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2.5374999999999996</v>
      </c>
      <c r="AG30" s="50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2.5374999999999996</v>
      </c>
      <c r="AH30" s="50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2.5374999999999996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3" t="s">
        <v>380</v>
      </c>
      <c r="C33" s="13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1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226</v>
      </c>
      <c r="C34" s="12"/>
      <c r="D34" s="488">
        <f>D44*'Price_Technical Assumption'!D30/1000</f>
        <v>30.800174999999996</v>
      </c>
      <c r="E34" s="488">
        <f>E44*'Price_Technical Assumption'!E30/1000</f>
        <v>30.800174999999996</v>
      </c>
      <c r="F34" s="488">
        <f>F44*'Price_Technical Assumption'!F30/1000</f>
        <v>30.800174999999996</v>
      </c>
      <c r="G34" s="488">
        <f>G44*'Price_Technical Assumption'!G30/1000</f>
        <v>30.800174999999996</v>
      </c>
      <c r="H34" s="488">
        <f>H44*'Price_Technical Assumption'!H30/1000</f>
        <v>30.800174999999996</v>
      </c>
      <c r="I34" s="488">
        <f>I44*'Price_Technical Assumption'!I30/1000</f>
        <v>30.800174999999996</v>
      </c>
      <c r="J34" s="488">
        <f>J44*'Price_Technical Assumption'!J30/1000</f>
        <v>30.800174999999996</v>
      </c>
      <c r="K34" s="488">
        <f>K44*'Price_Technical Assumption'!K30/1000</f>
        <v>30.800174999999996</v>
      </c>
      <c r="L34" s="488">
        <f>L44*'Price_Technical Assumption'!L30/1000</f>
        <v>30.800174999999996</v>
      </c>
      <c r="M34" s="488">
        <f>M44*'Price_Technical Assumption'!M30/1000</f>
        <v>30.800174999999996</v>
      </c>
      <c r="N34" s="488">
        <f>N44*'Price_Technical Assumption'!N30/1000</f>
        <v>30.800174999999996</v>
      </c>
      <c r="O34" s="488">
        <f>O44*'Price_Technical Assumption'!O30/1000</f>
        <v>30.800174999999996</v>
      </c>
      <c r="P34" s="488">
        <f>P44*'Price_Technical Assumption'!P30/1000</f>
        <v>30.800174999999996</v>
      </c>
      <c r="Q34" s="488">
        <f>Q44*'Price_Technical Assumption'!Q30/1000</f>
        <v>30.800174999999996</v>
      </c>
      <c r="R34" s="488">
        <f>R44*'Price_Technical Assumption'!R30/1000</f>
        <v>30.800174999999996</v>
      </c>
      <c r="S34" s="488">
        <f>S44*'Price_Technical Assumption'!S30/1000</f>
        <v>30.800174999999996</v>
      </c>
      <c r="T34" s="488">
        <f>T44*'Price_Technical Assumption'!T30/1000</f>
        <v>30.800174999999996</v>
      </c>
      <c r="U34" s="488">
        <f>U44*'Price_Technical Assumption'!U30/1000</f>
        <v>30.800174999999996</v>
      </c>
      <c r="V34" s="488">
        <f>V44*'Price_Technical Assumption'!V30/1000</f>
        <v>30.800174999999996</v>
      </c>
      <c r="W34" s="488">
        <f>W44*'Price_Technical Assumption'!W30/1000</f>
        <v>30.800174999999996</v>
      </c>
      <c r="X34" s="488">
        <f>X44*'Price_Technical Assumption'!X30/1000</f>
        <v>30.800174999999996</v>
      </c>
      <c r="Y34" s="488">
        <f>Y44*'Price_Technical Assumption'!Y30/1000</f>
        <v>30.800174999999996</v>
      </c>
      <c r="Z34" s="488">
        <f>Z44*'Price_Technical Assumption'!Z30/1000</f>
        <v>30.800174999999996</v>
      </c>
      <c r="AA34" s="488">
        <f>AA44*'Price_Technical Assumption'!AA30/1000</f>
        <v>30.800174999999996</v>
      </c>
      <c r="AB34" s="488">
        <f>AB44*'Price_Technical Assumption'!AB30/1000</f>
        <v>30.800174999999996</v>
      </c>
      <c r="AC34" s="488">
        <f>AC44*'Price_Technical Assumption'!AC30/1000</f>
        <v>30.800174999999996</v>
      </c>
      <c r="AD34" s="488">
        <f>AD44*'Price_Technical Assumption'!AD30/1000</f>
        <v>30.800174999999996</v>
      </c>
      <c r="AE34" s="488">
        <f>AE44*'Price_Technical Assumption'!AE30/1000</f>
        <v>30.800174999999996</v>
      </c>
      <c r="AF34" s="488">
        <f>AF44*'Price_Technical Assumption'!AF30/1000</f>
        <v>30.800174999999996</v>
      </c>
      <c r="AG34" s="488">
        <f>AG44*'Price_Technical Assumption'!AG30/1000</f>
        <v>30.800174999999996</v>
      </c>
      <c r="AH34" s="488">
        <f>AH44*'Price_Technical Assumption'!AH30/1000</f>
        <v>30.800174999999996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399</v>
      </c>
      <c r="C35" s="468"/>
      <c r="D35" s="505">
        <f>Assumptions!$H$61*(1+Assumptions!$N$11)^(D7)</f>
        <v>0</v>
      </c>
      <c r="E35" s="505">
        <f>Assumptions!$H$61*(1+Assumptions!$N$11)^(E7)</f>
        <v>0</v>
      </c>
      <c r="F35" s="505">
        <f>Assumptions!$H$61*(1+Assumptions!$N$11)^(F7)</f>
        <v>0</v>
      </c>
      <c r="G35" s="505">
        <f>Assumptions!$H$61*(1+Assumptions!$N$11)^(G7)</f>
        <v>0</v>
      </c>
      <c r="H35" s="505">
        <f>Assumptions!$H$61*(1+Assumptions!$N$11)^(H7)</f>
        <v>0</v>
      </c>
      <c r="I35" s="505">
        <f>Assumptions!$H$61*(1+Assumptions!$N$11)^(I7)</f>
        <v>0</v>
      </c>
      <c r="J35" s="505">
        <f>Assumptions!$H$61*(1+Assumptions!$N$11)^(J7)</f>
        <v>0</v>
      </c>
      <c r="K35" s="505">
        <f>Assumptions!$H$61*(1+Assumptions!$N$11)^(K7)</f>
        <v>0</v>
      </c>
      <c r="L35" s="505">
        <f>Assumptions!$H$61*(1+Assumptions!$N$11)^(L7)</f>
        <v>0</v>
      </c>
      <c r="M35" s="505">
        <f>Assumptions!$H$61*(1+Assumptions!$N$11)^(M7)</f>
        <v>0</v>
      </c>
      <c r="N35" s="505">
        <f>Assumptions!$H$61*(1+Assumptions!$N$11)^(N7)</f>
        <v>0</v>
      </c>
      <c r="O35" s="505">
        <f>Assumptions!$H$61*(1+Assumptions!$N$11)^(O7)</f>
        <v>0</v>
      </c>
      <c r="P35" s="505">
        <f>Assumptions!$H$61*(1+Assumptions!$N$11)^(P7)</f>
        <v>0</v>
      </c>
      <c r="Q35" s="505">
        <f>Assumptions!$H$61*(1+Assumptions!$N$11)^(Q7)</f>
        <v>0</v>
      </c>
      <c r="R35" s="505">
        <f>Assumptions!$H$61*(1+Assumptions!$N$11)^(R7)</f>
        <v>0</v>
      </c>
      <c r="S35" s="505">
        <f>Assumptions!$H$61*(1+Assumptions!$N$11)^(S7)</f>
        <v>0</v>
      </c>
      <c r="T35" s="505">
        <f>Assumptions!$H$61*(1+Assumptions!$N$11)^(T7)</f>
        <v>0</v>
      </c>
      <c r="U35" s="505">
        <f>Assumptions!$H$61*(1+Assumptions!$N$11)^(U7)</f>
        <v>0</v>
      </c>
      <c r="V35" s="505">
        <f>Assumptions!$H$61*(1+Assumptions!$N$11)^(V7)</f>
        <v>0</v>
      </c>
      <c r="W35" s="505">
        <f>Assumptions!$H$61*(1+Assumptions!$N$11)^(W7)</f>
        <v>0</v>
      </c>
      <c r="X35" s="505">
        <f>Assumptions!$H$61*(1+Assumptions!$N$11)^(X7)</f>
        <v>0</v>
      </c>
      <c r="Y35" s="505">
        <f>Assumptions!$H$61*(1+Assumptions!$N$11)^(Y7)</f>
        <v>0</v>
      </c>
      <c r="Z35" s="505">
        <f>Assumptions!$H$61*(1+Assumptions!$N$11)^(Z7)</f>
        <v>0</v>
      </c>
      <c r="AA35" s="505">
        <f>Assumptions!$H$61*(1+Assumptions!$N$11)^(AA7)</f>
        <v>0</v>
      </c>
      <c r="AB35" s="505">
        <f>Assumptions!$H$61*(1+Assumptions!$N$11)^(AB7)</f>
        <v>0</v>
      </c>
      <c r="AC35" s="505">
        <f>Assumptions!$H$61*(1+Assumptions!$N$11)^(AC7)</f>
        <v>0</v>
      </c>
      <c r="AD35" s="505">
        <f>Assumptions!$H$61*(1+Assumptions!$N$11)^(AD7)</f>
        <v>0</v>
      </c>
      <c r="AE35" s="505">
        <f>Assumptions!$H$61*(1+Assumptions!$N$11)^(AE7)</f>
        <v>0</v>
      </c>
      <c r="AF35" s="505">
        <f>Assumptions!$H$61*(1+Assumptions!$N$11)^(AF7)</f>
        <v>0</v>
      </c>
      <c r="AG35" s="505">
        <f>Assumptions!$H$61*(1+Assumptions!$N$11)^(AG7)</f>
        <v>0</v>
      </c>
      <c r="AH35" s="505">
        <f>Assumptions!$H$61*(1+Assumptions!$N$11)^(AH7)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408</v>
      </c>
      <c r="C36" s="12"/>
      <c r="D36" s="485">
        <f>SUM(D34:D35)</f>
        <v>30.800174999999996</v>
      </c>
      <c r="E36" s="485">
        <f t="shared" ref="E36:AH36" si="5">SUM(E34:E35)</f>
        <v>30.800174999999996</v>
      </c>
      <c r="F36" s="485">
        <f t="shared" si="5"/>
        <v>30.800174999999996</v>
      </c>
      <c r="G36" s="485">
        <f t="shared" si="5"/>
        <v>30.800174999999996</v>
      </c>
      <c r="H36" s="485">
        <f t="shared" si="5"/>
        <v>30.800174999999996</v>
      </c>
      <c r="I36" s="485">
        <f t="shared" si="5"/>
        <v>30.800174999999996</v>
      </c>
      <c r="J36" s="485">
        <f t="shared" si="5"/>
        <v>30.800174999999996</v>
      </c>
      <c r="K36" s="485">
        <f t="shared" si="5"/>
        <v>30.800174999999996</v>
      </c>
      <c r="L36" s="485">
        <f t="shared" si="5"/>
        <v>30.800174999999996</v>
      </c>
      <c r="M36" s="485">
        <f t="shared" si="5"/>
        <v>30.800174999999996</v>
      </c>
      <c r="N36" s="485">
        <f t="shared" si="5"/>
        <v>30.800174999999996</v>
      </c>
      <c r="O36" s="485">
        <f t="shared" si="5"/>
        <v>30.800174999999996</v>
      </c>
      <c r="P36" s="485">
        <f t="shared" si="5"/>
        <v>30.800174999999996</v>
      </c>
      <c r="Q36" s="485">
        <f t="shared" si="5"/>
        <v>30.800174999999996</v>
      </c>
      <c r="R36" s="485">
        <f t="shared" si="5"/>
        <v>30.800174999999996</v>
      </c>
      <c r="S36" s="485">
        <f t="shared" si="5"/>
        <v>30.800174999999996</v>
      </c>
      <c r="T36" s="485">
        <f t="shared" si="5"/>
        <v>30.800174999999996</v>
      </c>
      <c r="U36" s="485">
        <f t="shared" si="5"/>
        <v>30.800174999999996</v>
      </c>
      <c r="V36" s="485">
        <f t="shared" si="5"/>
        <v>30.800174999999996</v>
      </c>
      <c r="W36" s="485">
        <f t="shared" si="5"/>
        <v>30.800174999999996</v>
      </c>
      <c r="X36" s="485">
        <f t="shared" si="5"/>
        <v>30.800174999999996</v>
      </c>
      <c r="Y36" s="485">
        <f t="shared" si="5"/>
        <v>30.800174999999996</v>
      </c>
      <c r="Z36" s="485">
        <f t="shared" si="5"/>
        <v>30.800174999999996</v>
      </c>
      <c r="AA36" s="485">
        <f t="shared" si="5"/>
        <v>30.800174999999996</v>
      </c>
      <c r="AB36" s="485">
        <f t="shared" si="5"/>
        <v>30.800174999999996</v>
      </c>
      <c r="AC36" s="485">
        <f t="shared" si="5"/>
        <v>30.800174999999996</v>
      </c>
      <c r="AD36" s="485">
        <f t="shared" si="5"/>
        <v>30.800174999999996</v>
      </c>
      <c r="AE36" s="485">
        <f t="shared" si="5"/>
        <v>30.800174999999996</v>
      </c>
      <c r="AF36" s="485">
        <f t="shared" si="5"/>
        <v>30.800174999999996</v>
      </c>
      <c r="AG36" s="485">
        <f t="shared" si="5"/>
        <v>30.800174999999996</v>
      </c>
      <c r="AH36" s="485">
        <f t="shared" si="5"/>
        <v>30.800174999999996</v>
      </c>
      <c r="AI36" s="488"/>
      <c r="AJ36" s="48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8"/>
      <c r="O37" s="488"/>
      <c r="P37" s="488"/>
      <c r="Q37" s="488"/>
      <c r="R37" s="488"/>
      <c r="S37" s="488"/>
      <c r="T37" s="488"/>
      <c r="U37" s="488"/>
      <c r="V37" s="488"/>
      <c r="W37" s="488"/>
      <c r="X37" s="488"/>
      <c r="Y37" s="488"/>
      <c r="Z37" s="488"/>
      <c r="AA37" s="488"/>
      <c r="AB37" s="488"/>
      <c r="AC37" s="488"/>
      <c r="AD37" s="488"/>
      <c r="AE37" s="488"/>
      <c r="AF37" s="488"/>
      <c r="AG37" s="488"/>
      <c r="AH37" s="48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0" t="str">
        <f>Assumptions!W14</f>
        <v>Pass-through</v>
      </c>
      <c r="B38" s="43" t="s">
        <v>234</v>
      </c>
      <c r="C38" s="12"/>
      <c r="D38" s="502">
        <f>IF($A$38="Pass-through",D36,D34)</f>
        <v>30.800174999999996</v>
      </c>
      <c r="E38" s="503">
        <f t="shared" ref="E38:AH38" si="6">IF($A$38="Pass-through",E36,E34)</f>
        <v>30.800174999999996</v>
      </c>
      <c r="F38" s="503">
        <f t="shared" si="6"/>
        <v>30.800174999999996</v>
      </c>
      <c r="G38" s="503">
        <f t="shared" si="6"/>
        <v>30.800174999999996</v>
      </c>
      <c r="H38" s="503">
        <f t="shared" si="6"/>
        <v>30.800174999999996</v>
      </c>
      <c r="I38" s="503">
        <f t="shared" si="6"/>
        <v>30.800174999999996</v>
      </c>
      <c r="J38" s="503">
        <f t="shared" si="6"/>
        <v>30.800174999999996</v>
      </c>
      <c r="K38" s="503">
        <f t="shared" si="6"/>
        <v>30.800174999999996</v>
      </c>
      <c r="L38" s="503">
        <f t="shared" si="6"/>
        <v>30.800174999999996</v>
      </c>
      <c r="M38" s="503">
        <f t="shared" si="6"/>
        <v>30.800174999999996</v>
      </c>
      <c r="N38" s="503">
        <f t="shared" si="6"/>
        <v>30.800174999999996</v>
      </c>
      <c r="O38" s="503">
        <f t="shared" si="6"/>
        <v>30.800174999999996</v>
      </c>
      <c r="P38" s="503">
        <f t="shared" si="6"/>
        <v>30.800174999999996</v>
      </c>
      <c r="Q38" s="503">
        <f t="shared" si="6"/>
        <v>30.800174999999996</v>
      </c>
      <c r="R38" s="504">
        <f t="shared" si="6"/>
        <v>30.800174999999996</v>
      </c>
      <c r="S38" s="502">
        <f t="shared" si="6"/>
        <v>30.800174999999996</v>
      </c>
      <c r="T38" s="503">
        <f t="shared" si="6"/>
        <v>30.800174999999996</v>
      </c>
      <c r="U38" s="503">
        <f t="shared" si="6"/>
        <v>30.800174999999996</v>
      </c>
      <c r="V38" s="503">
        <f t="shared" si="6"/>
        <v>30.800174999999996</v>
      </c>
      <c r="W38" s="503">
        <f t="shared" si="6"/>
        <v>30.800174999999996</v>
      </c>
      <c r="X38" s="503">
        <f t="shared" si="6"/>
        <v>30.800174999999996</v>
      </c>
      <c r="Y38" s="503">
        <f t="shared" si="6"/>
        <v>30.800174999999996</v>
      </c>
      <c r="Z38" s="503">
        <f t="shared" si="6"/>
        <v>30.800174999999996</v>
      </c>
      <c r="AA38" s="503">
        <f t="shared" si="6"/>
        <v>30.800174999999996</v>
      </c>
      <c r="AB38" s="503">
        <f t="shared" si="6"/>
        <v>30.800174999999996</v>
      </c>
      <c r="AC38" s="503">
        <f t="shared" si="6"/>
        <v>30.800174999999996</v>
      </c>
      <c r="AD38" s="503">
        <f t="shared" si="6"/>
        <v>30.800174999999996</v>
      </c>
      <c r="AE38" s="503">
        <f t="shared" si="6"/>
        <v>30.800174999999996</v>
      </c>
      <c r="AF38" s="503">
        <f t="shared" si="6"/>
        <v>30.800174999999996</v>
      </c>
      <c r="AG38" s="503">
        <f t="shared" si="6"/>
        <v>30.800174999999996</v>
      </c>
      <c r="AH38" s="504">
        <f t="shared" si="6"/>
        <v>30.800174999999996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3" t="s">
        <v>390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391</v>
      </c>
      <c r="C42" s="12"/>
      <c r="D42" s="65">
        <f>Assumptions!$H$15</f>
        <v>11900</v>
      </c>
      <c r="E42" s="65">
        <f>Assumptions!$H$15</f>
        <v>11900</v>
      </c>
      <c r="F42" s="65">
        <f>Assumptions!$H$15</f>
        <v>11900</v>
      </c>
      <c r="G42" s="65">
        <f>Assumptions!$H$15</f>
        <v>11900</v>
      </c>
      <c r="H42" s="65">
        <f>Assumptions!$H$15</f>
        <v>11900</v>
      </c>
      <c r="I42" s="65">
        <f>Assumptions!$H$15</f>
        <v>11900</v>
      </c>
      <c r="J42" s="65">
        <f>Assumptions!$H$15</f>
        <v>11900</v>
      </c>
      <c r="K42" s="65">
        <f>Assumptions!$H$15</f>
        <v>11900</v>
      </c>
      <c r="L42" s="65">
        <f>Assumptions!$H$15</f>
        <v>11900</v>
      </c>
      <c r="M42" s="65">
        <f>Assumptions!$H$15</f>
        <v>11900</v>
      </c>
      <c r="N42" s="65">
        <f>Assumptions!$H$15</f>
        <v>11900</v>
      </c>
      <c r="O42" s="65">
        <f>Assumptions!$H$15</f>
        <v>11900</v>
      </c>
      <c r="P42" s="65">
        <f>Assumptions!$H$15</f>
        <v>11900</v>
      </c>
      <c r="Q42" s="65">
        <f>Assumptions!$H$15</f>
        <v>11900</v>
      </c>
      <c r="R42" s="65">
        <f>Assumptions!$H$15</f>
        <v>11900</v>
      </c>
      <c r="S42" s="65">
        <f>Assumptions!$H$15</f>
        <v>11900</v>
      </c>
      <c r="T42" s="65">
        <f>Assumptions!$H$15</f>
        <v>11900</v>
      </c>
      <c r="U42" s="65">
        <f>Assumptions!$H$15</f>
        <v>11900</v>
      </c>
      <c r="V42" s="65">
        <f>Assumptions!$H$15</f>
        <v>11900</v>
      </c>
      <c r="W42" s="65">
        <f>Assumptions!$H$15</f>
        <v>11900</v>
      </c>
      <c r="X42" s="65">
        <f>Assumptions!$H$15</f>
        <v>11900</v>
      </c>
      <c r="Y42" s="65">
        <f>Assumptions!$H$15</f>
        <v>11900</v>
      </c>
      <c r="Z42" s="65">
        <f>Assumptions!$H$15</f>
        <v>11900</v>
      </c>
      <c r="AA42" s="65">
        <f>Assumptions!$H$15</f>
        <v>11900</v>
      </c>
      <c r="AB42" s="65">
        <f>Assumptions!$H$15</f>
        <v>11900</v>
      </c>
      <c r="AC42" s="65">
        <f>Assumptions!$H$15</f>
        <v>11900</v>
      </c>
      <c r="AD42" s="65">
        <f>Assumptions!$H$15</f>
        <v>11900</v>
      </c>
      <c r="AE42" s="65">
        <f>Assumptions!$H$15</f>
        <v>11900</v>
      </c>
      <c r="AF42" s="65">
        <f>Assumptions!$H$15</f>
        <v>11900</v>
      </c>
      <c r="AG42" s="65">
        <f>Assumptions!$H$15</f>
        <v>11900</v>
      </c>
      <c r="AH42" s="65">
        <f>Assumptions!$H$15</f>
        <v>11900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393</v>
      </c>
      <c r="C43" s="12"/>
      <c r="D43" s="510">
        <v>0.02</v>
      </c>
      <c r="E43" s="510">
        <v>0.02</v>
      </c>
      <c r="F43" s="510">
        <v>0.02</v>
      </c>
      <c r="G43" s="510">
        <v>0.02</v>
      </c>
      <c r="H43" s="510">
        <v>0.02</v>
      </c>
      <c r="I43" s="510">
        <v>0.02</v>
      </c>
      <c r="J43" s="510">
        <v>0.02</v>
      </c>
      <c r="K43" s="510">
        <v>0.02</v>
      </c>
      <c r="L43" s="510">
        <v>0.02</v>
      </c>
      <c r="M43" s="510">
        <v>0.02</v>
      </c>
      <c r="N43" s="510">
        <v>0.02</v>
      </c>
      <c r="O43" s="510">
        <v>0.02</v>
      </c>
      <c r="P43" s="510">
        <v>0.02</v>
      </c>
      <c r="Q43" s="510">
        <v>0.02</v>
      </c>
      <c r="R43" s="510">
        <v>0.02</v>
      </c>
      <c r="S43" s="510">
        <v>0.02</v>
      </c>
      <c r="T43" s="510">
        <v>0.02</v>
      </c>
      <c r="U43" s="510">
        <v>0.02</v>
      </c>
      <c r="V43" s="510">
        <v>0.02</v>
      </c>
      <c r="W43" s="510">
        <v>0.02</v>
      </c>
      <c r="X43" s="510">
        <v>0.02</v>
      </c>
      <c r="Y43" s="510">
        <v>0.02</v>
      </c>
      <c r="Z43" s="510">
        <v>0.02</v>
      </c>
      <c r="AA43" s="510">
        <v>0.02</v>
      </c>
      <c r="AB43" s="510">
        <v>0.02</v>
      </c>
      <c r="AC43" s="510">
        <v>0.02</v>
      </c>
      <c r="AD43" s="510">
        <v>0.02</v>
      </c>
      <c r="AE43" s="510">
        <v>0.02</v>
      </c>
      <c r="AF43" s="510">
        <v>0.02</v>
      </c>
      <c r="AG43" s="510">
        <v>0.02</v>
      </c>
      <c r="AH43" s="51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392</v>
      </c>
      <c r="C44" s="12"/>
      <c r="D44" s="507">
        <f>D42*(1+D43)</f>
        <v>12138</v>
      </c>
      <c r="E44" s="508">
        <f t="shared" ref="E44:AH44" si="7">E42*(1+E43)</f>
        <v>12138</v>
      </c>
      <c r="F44" s="508">
        <f t="shared" si="7"/>
        <v>12138</v>
      </c>
      <c r="G44" s="508">
        <f t="shared" si="7"/>
        <v>12138</v>
      </c>
      <c r="H44" s="508">
        <f t="shared" si="7"/>
        <v>12138</v>
      </c>
      <c r="I44" s="508">
        <f t="shared" si="7"/>
        <v>12138</v>
      </c>
      <c r="J44" s="508">
        <f t="shared" si="7"/>
        <v>12138</v>
      </c>
      <c r="K44" s="508">
        <f t="shared" si="7"/>
        <v>12138</v>
      </c>
      <c r="L44" s="508">
        <f t="shared" si="7"/>
        <v>12138</v>
      </c>
      <c r="M44" s="508">
        <f t="shared" si="7"/>
        <v>12138</v>
      </c>
      <c r="N44" s="508">
        <f t="shared" si="7"/>
        <v>12138</v>
      </c>
      <c r="O44" s="508">
        <f t="shared" si="7"/>
        <v>12138</v>
      </c>
      <c r="P44" s="508">
        <f t="shared" si="7"/>
        <v>12138</v>
      </c>
      <c r="Q44" s="508">
        <f t="shared" si="7"/>
        <v>12138</v>
      </c>
      <c r="R44" s="509">
        <f t="shared" si="7"/>
        <v>12138</v>
      </c>
      <c r="S44" s="507">
        <f t="shared" si="7"/>
        <v>12138</v>
      </c>
      <c r="T44" s="508">
        <f t="shared" si="7"/>
        <v>12138</v>
      </c>
      <c r="U44" s="508">
        <f t="shared" si="7"/>
        <v>12138</v>
      </c>
      <c r="V44" s="508">
        <f t="shared" si="7"/>
        <v>12138</v>
      </c>
      <c r="W44" s="508">
        <f t="shared" si="7"/>
        <v>12138</v>
      </c>
      <c r="X44" s="508">
        <f t="shared" si="7"/>
        <v>12138</v>
      </c>
      <c r="Y44" s="508">
        <f t="shared" si="7"/>
        <v>12138</v>
      </c>
      <c r="Z44" s="508">
        <f t="shared" si="7"/>
        <v>12138</v>
      </c>
      <c r="AA44" s="508">
        <f t="shared" si="7"/>
        <v>12138</v>
      </c>
      <c r="AB44" s="508">
        <f t="shared" si="7"/>
        <v>12138</v>
      </c>
      <c r="AC44" s="508">
        <f t="shared" si="7"/>
        <v>12138</v>
      </c>
      <c r="AD44" s="508">
        <f t="shared" si="7"/>
        <v>12138</v>
      </c>
      <c r="AE44" s="508">
        <f t="shared" si="7"/>
        <v>12138</v>
      </c>
      <c r="AF44" s="508">
        <f t="shared" si="7"/>
        <v>12138</v>
      </c>
      <c r="AG44" s="508">
        <f t="shared" si="7"/>
        <v>12138</v>
      </c>
      <c r="AH44" s="509">
        <f t="shared" si="7"/>
        <v>12138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0"/>
  <sheetViews>
    <sheetView workbookViewId="0">
      <selection activeCell="B8" sqref="B8"/>
    </sheetView>
  </sheetViews>
  <sheetFormatPr defaultRowHeight="12.75"/>
  <cols>
    <col min="1" max="1" width="3" style="12" customWidth="1"/>
    <col min="2" max="2" width="24.5703125" style="12" customWidth="1"/>
    <col min="3" max="3" width="1.140625" style="12" customWidth="1"/>
    <col min="4" max="5" width="18.140625" style="12" customWidth="1"/>
    <col min="6" max="6" width="20.28515625" style="12" customWidth="1"/>
    <col min="7" max="16384" width="9.140625" style="12"/>
  </cols>
  <sheetData>
    <row r="2" spans="2:6">
      <c r="B2" s="225" t="s">
        <v>448</v>
      </c>
    </row>
    <row r="4" spans="2:6">
      <c r="D4" s="540" t="s">
        <v>450</v>
      </c>
      <c r="E4" s="540" t="s">
        <v>451</v>
      </c>
      <c r="F4" s="540" t="s">
        <v>449</v>
      </c>
    </row>
    <row r="5" spans="2:6">
      <c r="B5" s="11" t="s">
        <v>452</v>
      </c>
    </row>
    <row r="6" spans="2:6">
      <c r="B6" s="12" t="s">
        <v>447</v>
      </c>
      <c r="D6" s="541">
        <v>99000000</v>
      </c>
      <c r="E6" s="12">
        <v>6</v>
      </c>
      <c r="F6" s="541">
        <f>D6/E6</f>
        <v>16500000</v>
      </c>
    </row>
    <row r="7" spans="2:6">
      <c r="D7" s="541"/>
    </row>
    <row r="8" spans="2:6">
      <c r="D8" s="541"/>
    </row>
    <row r="9" spans="2:6">
      <c r="D9" s="541"/>
    </row>
    <row r="10" spans="2:6">
      <c r="D10" s="541"/>
    </row>
    <row r="11" spans="2:6">
      <c r="D11" s="541"/>
    </row>
    <row r="12" spans="2:6">
      <c r="D12" s="541"/>
    </row>
    <row r="13" spans="2:6">
      <c r="D13" s="541"/>
    </row>
    <row r="14" spans="2:6">
      <c r="D14" s="541"/>
    </row>
    <row r="15" spans="2:6">
      <c r="D15" s="541"/>
    </row>
    <row r="16" spans="2:6">
      <c r="D16" s="541"/>
    </row>
    <row r="17" spans="4:4">
      <c r="D17" s="541"/>
    </row>
    <row r="18" spans="4:4">
      <c r="D18" s="541"/>
    </row>
    <row r="19" spans="4:4">
      <c r="D19" s="541"/>
    </row>
    <row r="20" spans="4:4">
      <c r="D20" s="541"/>
    </row>
    <row r="21" spans="4:4">
      <c r="D21" s="541"/>
    </row>
    <row r="22" spans="4:4">
      <c r="D22" s="541"/>
    </row>
    <row r="23" spans="4:4">
      <c r="D23" s="541"/>
    </row>
    <row r="24" spans="4:4">
      <c r="D24" s="541"/>
    </row>
    <row r="25" spans="4:4">
      <c r="D25" s="541"/>
    </row>
    <row r="26" spans="4:4">
      <c r="D26" s="541"/>
    </row>
    <row r="27" spans="4:4">
      <c r="D27" s="541"/>
    </row>
    <row r="28" spans="4:4">
      <c r="D28" s="541"/>
    </row>
    <row r="29" spans="4:4">
      <c r="D29" s="541"/>
    </row>
    <row r="30" spans="4:4">
      <c r="D30" s="541"/>
    </row>
    <row r="31" spans="4:4">
      <c r="D31" s="541"/>
    </row>
    <row r="32" spans="4:4">
      <c r="D32" s="541"/>
    </row>
    <row r="33" spans="4:4">
      <c r="D33" s="541"/>
    </row>
    <row r="34" spans="4:4">
      <c r="D34" s="541"/>
    </row>
    <row r="35" spans="4:4">
      <c r="D35" s="541"/>
    </row>
    <row r="36" spans="4:4">
      <c r="D36" s="541"/>
    </row>
    <row r="37" spans="4:4">
      <c r="D37" s="541"/>
    </row>
    <row r="38" spans="4:4">
      <c r="D38" s="541"/>
    </row>
    <row r="39" spans="4:4">
      <c r="D39" s="541"/>
    </row>
    <row r="40" spans="4:4">
      <c r="D40" s="541"/>
    </row>
    <row r="41" spans="4:4">
      <c r="D41" s="541"/>
    </row>
    <row r="42" spans="4:4">
      <c r="D42" s="541"/>
    </row>
    <row r="43" spans="4:4">
      <c r="D43" s="541"/>
    </row>
    <row r="44" spans="4:4">
      <c r="D44" s="541"/>
    </row>
    <row r="45" spans="4:4">
      <c r="D45" s="541"/>
    </row>
    <row r="46" spans="4:4">
      <c r="D46" s="541"/>
    </row>
    <row r="47" spans="4:4">
      <c r="D47" s="541"/>
    </row>
    <row r="48" spans="4:4">
      <c r="D48" s="541"/>
    </row>
    <row r="49" spans="4:4">
      <c r="D49" s="541"/>
    </row>
    <row r="50" spans="4:4">
      <c r="D50" s="541"/>
    </row>
    <row r="51" spans="4:4">
      <c r="D51" s="541"/>
    </row>
    <row r="52" spans="4:4">
      <c r="D52" s="541"/>
    </row>
    <row r="53" spans="4:4">
      <c r="D53" s="541"/>
    </row>
    <row r="54" spans="4:4">
      <c r="D54" s="541"/>
    </row>
    <row r="55" spans="4:4">
      <c r="D55" s="541"/>
    </row>
    <row r="56" spans="4:4">
      <c r="D56" s="541"/>
    </row>
    <row r="57" spans="4:4">
      <c r="D57" s="541"/>
    </row>
    <row r="58" spans="4:4">
      <c r="D58" s="541"/>
    </row>
    <row r="59" spans="4:4">
      <c r="D59" s="541"/>
    </row>
    <row r="60" spans="4:4">
      <c r="D60" s="541"/>
    </row>
    <row r="61" spans="4:4">
      <c r="D61" s="541"/>
    </row>
    <row r="62" spans="4:4">
      <c r="D62" s="541"/>
    </row>
    <row r="63" spans="4:4">
      <c r="D63" s="541"/>
    </row>
    <row r="64" spans="4:4">
      <c r="D64" s="541"/>
    </row>
    <row r="65" spans="4:4">
      <c r="D65" s="541"/>
    </row>
    <row r="66" spans="4:4">
      <c r="D66" s="541"/>
    </row>
    <row r="67" spans="4:4">
      <c r="D67" s="541"/>
    </row>
    <row r="68" spans="4:4">
      <c r="D68" s="541"/>
    </row>
    <row r="69" spans="4:4">
      <c r="D69" s="541"/>
    </row>
    <row r="70" spans="4:4">
      <c r="D70" s="541"/>
    </row>
    <row r="71" spans="4:4">
      <c r="D71" s="541"/>
    </row>
    <row r="72" spans="4:4">
      <c r="D72" s="541"/>
    </row>
    <row r="73" spans="4:4">
      <c r="D73" s="541"/>
    </row>
    <row r="74" spans="4:4">
      <c r="D74" s="541"/>
    </row>
    <row r="75" spans="4:4">
      <c r="D75" s="541"/>
    </row>
    <row r="76" spans="4:4">
      <c r="D76" s="541"/>
    </row>
    <row r="77" spans="4:4">
      <c r="D77" s="541"/>
    </row>
    <row r="78" spans="4:4">
      <c r="D78" s="541"/>
    </row>
    <row r="79" spans="4:4">
      <c r="D79" s="541"/>
    </row>
    <row r="80" spans="4:4">
      <c r="D80" s="541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6" sqref="C1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CIPCO</v>
      </c>
    </row>
    <row r="4" spans="1:33" ht="18.75">
      <c r="A4" s="60" t="s">
        <v>92</v>
      </c>
      <c r="B4" s="5"/>
    </row>
    <row r="6" spans="1:33">
      <c r="C6" s="208">
        <f>'Price_Technical Assumption'!D7</f>
        <v>0.66666666666666663</v>
      </c>
      <c r="D6" s="208">
        <f>'Price_Technical Assumption'!E7</f>
        <v>1.6666666666666665</v>
      </c>
      <c r="E6" s="208">
        <f>'Price_Technical Assumption'!F7</f>
        <v>2.6666666666666665</v>
      </c>
      <c r="F6" s="208">
        <f>'Price_Technical Assumption'!G7</f>
        <v>3.6666666666666665</v>
      </c>
      <c r="G6" s="208">
        <f>'Price_Technical Assumption'!H7</f>
        <v>4.6666666666666661</v>
      </c>
      <c r="H6" s="208">
        <f>'Price_Technical Assumption'!I7</f>
        <v>5.6666666666666661</v>
      </c>
      <c r="I6" s="208">
        <f>'Price_Technical Assumption'!J7</f>
        <v>6.6666666666666661</v>
      </c>
      <c r="J6" s="208">
        <f>'Price_Technical Assumption'!K7</f>
        <v>7.6666666666666661</v>
      </c>
      <c r="K6" s="208">
        <f>'Price_Technical Assumption'!L7</f>
        <v>8.6666666666666661</v>
      </c>
      <c r="L6" s="208">
        <f>'Price_Technical Assumption'!M7</f>
        <v>9.6666666666666661</v>
      </c>
      <c r="M6" s="208">
        <f>'Price_Technical Assumption'!N7</f>
        <v>10.666666666666666</v>
      </c>
      <c r="N6" s="208">
        <f>'Price_Technical Assumption'!O7</f>
        <v>11.666666666666666</v>
      </c>
      <c r="O6" s="208">
        <f>'Price_Technical Assumption'!P7</f>
        <v>12.666666666666666</v>
      </c>
      <c r="P6" s="208">
        <f>'Price_Technical Assumption'!Q7</f>
        <v>13.666666666666666</v>
      </c>
      <c r="Q6" s="208">
        <f>'Price_Technical Assumption'!R7</f>
        <v>14.666666666666666</v>
      </c>
      <c r="R6" s="208">
        <f>'Price_Technical Assumption'!S7</f>
        <v>15.666666666666666</v>
      </c>
      <c r="S6" s="208">
        <f>'Price_Technical Assumption'!T7</f>
        <v>16.666666666666664</v>
      </c>
      <c r="T6" s="208">
        <f>'Price_Technical Assumption'!U7</f>
        <v>17.666666666666664</v>
      </c>
      <c r="U6" s="208">
        <f>'Price_Technical Assumption'!V7</f>
        <v>18.666666666666664</v>
      </c>
      <c r="V6" s="208">
        <f>'Price_Technical Assumption'!W7</f>
        <v>19.666666666666664</v>
      </c>
      <c r="W6" s="208">
        <f>'Price_Technical Assumption'!X7</f>
        <v>20.666666666666664</v>
      </c>
      <c r="X6" s="208">
        <f>'Price_Technical Assumption'!Y7</f>
        <v>21.666666666666664</v>
      </c>
      <c r="Y6" s="208">
        <f>'Price_Technical Assumption'!Z7</f>
        <v>22.666666666666664</v>
      </c>
      <c r="Z6" s="208">
        <f>'Price_Technical Assumption'!AA7</f>
        <v>23.666666666666664</v>
      </c>
      <c r="AA6" s="208">
        <f>'Price_Technical Assumption'!AB7</f>
        <v>24.666666666666664</v>
      </c>
      <c r="AB6" s="208">
        <f>'Price_Technical Assumption'!AC7</f>
        <v>25.666666666666664</v>
      </c>
      <c r="AC6" s="208">
        <f>'Price_Technical Assumption'!AD7</f>
        <v>26.666666666666664</v>
      </c>
      <c r="AD6" s="208">
        <f>'Price_Technical Assumption'!AE7</f>
        <v>27.666666666666664</v>
      </c>
      <c r="AE6" s="208">
        <f>'Price_Technical Assumption'!AF7</f>
        <v>28.666666666666664</v>
      </c>
      <c r="AF6" s="208">
        <f>'Price_Technical Assumption'!AG7</f>
        <v>29.666666666666664</v>
      </c>
      <c r="AG6" s="208">
        <f>'Price_Technical Assumption'!AH7</f>
        <v>30.666666666666664</v>
      </c>
    </row>
    <row r="7" spans="1:33" s="6" customFormat="1" ht="13.5" thickBot="1">
      <c r="A7" s="121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0">
        <v>37256</v>
      </c>
      <c r="D8" s="360">
        <v>37621</v>
      </c>
      <c r="E8" s="360">
        <v>37986</v>
      </c>
      <c r="F8" s="360">
        <v>38352</v>
      </c>
      <c r="G8" s="360">
        <v>38717</v>
      </c>
      <c r="H8" s="360">
        <v>39082</v>
      </c>
      <c r="I8" s="360">
        <v>39447</v>
      </c>
      <c r="J8" s="360">
        <v>39813</v>
      </c>
      <c r="K8" s="360">
        <v>40178</v>
      </c>
      <c r="L8" s="360">
        <v>40543</v>
      </c>
      <c r="M8" s="360">
        <v>40908</v>
      </c>
      <c r="N8" s="360">
        <v>41274</v>
      </c>
      <c r="O8" s="360">
        <v>41639</v>
      </c>
      <c r="P8" s="360">
        <v>42004</v>
      </c>
      <c r="Q8" s="360">
        <v>42369</v>
      </c>
      <c r="R8" s="360">
        <v>42735</v>
      </c>
      <c r="S8" s="360">
        <v>43100</v>
      </c>
      <c r="T8" s="360">
        <v>43465</v>
      </c>
      <c r="U8" s="360">
        <v>43830</v>
      </c>
      <c r="V8" s="360">
        <v>44196</v>
      </c>
      <c r="W8" s="360">
        <v>44561</v>
      </c>
      <c r="X8" s="360">
        <v>44926</v>
      </c>
      <c r="Y8" s="360">
        <v>45291</v>
      </c>
      <c r="Z8" s="360">
        <v>45657</v>
      </c>
      <c r="AA8" s="360">
        <v>46022</v>
      </c>
      <c r="AB8" s="360">
        <v>46387</v>
      </c>
      <c r="AC8" s="360">
        <v>46752</v>
      </c>
      <c r="AD8" s="360">
        <v>47118</v>
      </c>
      <c r="AE8" s="360">
        <v>47483</v>
      </c>
      <c r="AF8" s="360">
        <v>47848</v>
      </c>
      <c r="AG8" s="360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112</v>
      </c>
      <c r="C10" s="74">
        <f>IF(C6&lt;Assumptions!$H$20,C6*12*'Price_Technical Assumption'!D21*Assumptions!$H$70,IF(AND(B6&lt;Assumptions!$H$20,C6&gt;Assumptions!$H$20),(1-$C$6)*12*'Price_Technical Assumption'!D21*Assumptions!$H$70,0))</f>
        <v>6688</v>
      </c>
      <c r="D10" s="74">
        <f>IF(D6&lt;Assumptions!$H$20,12*'Price_Technical Assumption'!E21*Assumptions!$H$70,IF(AND(C6&lt;Assumptions!$H$20,D6&gt;Assumptions!$H$20),(1-$C$6)*12*'Price_Technical Assumption'!E21*Assumptions!$H$70,0))</f>
        <v>10032</v>
      </c>
      <c r="E10" s="74">
        <f>IF(E6&lt;Assumptions!$H$20,12*'Price_Technical Assumption'!F21*Assumptions!$H$70,IF(AND(D6&lt;Assumptions!$H$20,E6&gt;Assumptions!$H$20),(1-$C$6)*12*'Price_Technical Assumption'!F21*Assumptions!$H$70,0))</f>
        <v>10032</v>
      </c>
      <c r="F10" s="74">
        <f>IF(F6&lt;Assumptions!$H$20,12*'Price_Technical Assumption'!G21*Assumptions!$H$70,IF(AND(E6&lt;Assumptions!$H$20,F6&gt;Assumptions!$H$20),(1-$C$6)*12*'Price_Technical Assumption'!G21*Assumptions!$H$70,0))</f>
        <v>10032</v>
      </c>
      <c r="G10" s="74">
        <f>IF(G6&lt;Assumptions!$H$20,12*'Price_Technical Assumption'!H21*Assumptions!$H$70,IF(AND(F6&lt;Assumptions!$H$20,G6&gt;Assumptions!$H$20),(1-$C$6)*12*'Price_Technical Assumption'!H21*Assumptions!$H$70,0))</f>
        <v>10032</v>
      </c>
      <c r="H10" s="74">
        <f>IF(H6&lt;Assumptions!$H$20,12*'Price_Technical Assumption'!I21*Assumptions!$H$70,IF(AND(G6&lt;Assumptions!$H$20,H6&gt;Assumptions!$H$20),(1-$C$6)*12*'Price_Technical Assumption'!I21*Assumptions!$H$70,0))</f>
        <v>10032</v>
      </c>
      <c r="I10" s="74">
        <f>IF(I6&lt;Assumptions!$H$20,12*'Price_Technical Assumption'!J21*Assumptions!$H$70,IF(AND(H6&lt;Assumptions!$H$20,I6&gt;Assumptions!$H$20),(1-$C$6)*12*'Price_Technical Assumption'!J21*Assumptions!$H$70,0))</f>
        <v>10032</v>
      </c>
      <c r="J10" s="74">
        <f>IF(J6&lt;Assumptions!$H$20,12*'Price_Technical Assumption'!K21*Assumptions!$H$70,IF(AND(I6&lt;Assumptions!$H$20,J6&gt;Assumptions!$H$20),(1-$C$6)*12*'Price_Technical Assumption'!K21*Assumptions!$H$70,0))</f>
        <v>10032</v>
      </c>
      <c r="K10" s="74">
        <f>IF(K6&lt;Assumptions!$H$20,12*'Price_Technical Assumption'!L21*Assumptions!$H$70,IF(AND(J6&lt;Assumptions!$H$20,K6&gt;Assumptions!$H$20),(1-$C$6)*12*'Price_Technical Assumption'!L21*Assumptions!$H$70,0))</f>
        <v>10032</v>
      </c>
      <c r="L10" s="74">
        <f>IF(L6&lt;Assumptions!$H$20,12*'Price_Technical Assumption'!M21*Assumptions!$H$70,IF(AND(K6&lt;Assumptions!$H$20,L6&gt;Assumptions!$H$20),(1-$C$6)*12*'Price_Technical Assumption'!M21*Assumptions!$H$70,0))</f>
        <v>10032</v>
      </c>
      <c r="M10" s="74">
        <f>IF(M6&lt;Assumptions!$H$20,12*'Price_Technical Assumption'!N21*Assumptions!$H$70,IF(AND(L6&lt;Assumptions!$H$20,M6&gt;Assumptions!$H$20),(1-$C$6)*12*'Price_Technical Assumption'!N21*Assumptions!$H$70,0))</f>
        <v>10032</v>
      </c>
      <c r="N10" s="74">
        <f>IF(N6&lt;Assumptions!$H$20,12*'Price_Technical Assumption'!O21*Assumptions!$H$70,IF(AND(M6&lt;Assumptions!$H$20,N6&gt;Assumptions!$H$20),(1-$C$6)*12*'Price_Technical Assumption'!O21*Assumptions!$H$70,0))</f>
        <v>10032</v>
      </c>
      <c r="O10" s="74">
        <f>IF(O6&lt;Assumptions!$H$20,12*'Price_Technical Assumption'!P21*Assumptions!$H$70,IF(AND(N6&lt;Assumptions!$H$20,O6&gt;Assumptions!$H$20),(1-$C$6)*12*'Price_Technical Assumption'!P21*Assumptions!$H$70,0))</f>
        <v>10032</v>
      </c>
      <c r="P10" s="74">
        <f>IF(P6&lt;Assumptions!$H$20,12*'Price_Technical Assumption'!Q21*Assumptions!$H$70,IF(AND(O6&lt;Assumptions!$H$20,P6&gt;Assumptions!$H$20),(1-$C$6)*12*'Price_Technical Assumption'!Q21*Assumptions!$H$70,0))</f>
        <v>10032</v>
      </c>
      <c r="Q10" s="74">
        <f>IF(Q6&lt;Assumptions!$H$20,12*'Price_Technical Assumption'!R21*Assumptions!$H$70,IF(AND(P6&lt;Assumptions!$H$20,Q6&gt;Assumptions!$H$20),(1-$C$6)*12*'Price_Technical Assumption'!R21*Assumptions!$H$70,0))</f>
        <v>10032</v>
      </c>
      <c r="R10" s="74">
        <f>IF(R6&lt;Assumptions!$H$20,12*'Price_Technical Assumption'!S21*Assumptions!$H$70,IF(AND(Q6&lt;Assumptions!$H$20,R6&gt;Assumptions!$H$20),(1-$C$6)*12*'Price_Technical Assumption'!S21*Assumptions!$H$70,0))</f>
        <v>10032</v>
      </c>
      <c r="S10" s="74">
        <f>IF(S6&lt;Assumptions!$H$20,12*'Price_Technical Assumption'!T21*Assumptions!$H$70,IF(AND(R6&lt;Assumptions!$H$20,S6&gt;Assumptions!$H$20),(1-$C$6)*12*'Price_Technical Assumption'!T21*Assumptions!$H$70,0))</f>
        <v>10032</v>
      </c>
      <c r="T10" s="74">
        <f>IF(T6&lt;Assumptions!$H$20,12*'Price_Technical Assumption'!U21*Assumptions!$H$70,IF(AND(S6&lt;Assumptions!$H$20,T6&gt;Assumptions!$H$20),(1-$C$6)*12*'Price_Technical Assumption'!U21*Assumptions!$H$70,0))</f>
        <v>10032</v>
      </c>
      <c r="U10" s="74">
        <f>IF(U6&lt;Assumptions!$H$20,12*'Price_Technical Assumption'!V21*Assumptions!$H$70,IF(AND(T6&lt;Assumptions!$H$20,U6&gt;Assumptions!$H$20),(1-$C$6)*12*'Price_Technical Assumption'!V21*Assumptions!$H$70,0))</f>
        <v>10032</v>
      </c>
      <c r="V10" s="74">
        <f>IF(V6&lt;Assumptions!$H$20,12*'Price_Technical Assumption'!W21*Assumptions!$H$70,IF(AND(U6&lt;Assumptions!$H$20,V6&gt;Assumptions!$H$20),(1-$C$6)*12*'Price_Technical Assumption'!W21*Assumptions!$H$70,0))</f>
        <v>10032</v>
      </c>
      <c r="W10" s="74">
        <f>IF(W6&lt;Assumptions!$H$20,12*'Price_Technical Assumption'!X21*Assumptions!$H$70,IF(AND(V6&lt;Assumptions!$H$20,W6&gt;Assumptions!$H$20),(1-$C$6)*12*'Price_Technical Assumption'!X21*Assumptions!$H$70,0))</f>
        <v>4005.1510323095094</v>
      </c>
      <c r="X10" s="74">
        <f>IF(X6&lt;Assumptions!$H$20,12*'Price_Technical Assumption'!Y21*Assumptions!$H$70,IF(AND(W6&lt;Assumptions!$H$20,X6&gt;Assumptions!$H$20),(1-$C$6)*12*'Price_Technical Assumption'!Y21*Assumptions!$H$70,0))</f>
        <v>0</v>
      </c>
      <c r="Y10" s="74">
        <f>IF(Y6&lt;Assumptions!$H$20,12*'Price_Technical Assumption'!Z21*Assumptions!$H$70,IF(AND(X6&lt;Assumptions!$H$20,Y6&gt;Assumptions!$H$20),(1-$C$6)*12*'Price_Technical Assumption'!Z21*Assumptions!$H$70,0))</f>
        <v>0</v>
      </c>
      <c r="Z10" s="74">
        <f>IF(Z6&lt;Assumptions!$H$20,12*'Price_Technical Assumption'!AA21*Assumptions!$H$70,IF(AND(Y6&lt;Assumptions!$H$20,Z6&gt;Assumptions!$H$20),(1-$C$6)*12*'Price_Technical Assumption'!AA21*Assumptions!$H$70,0))</f>
        <v>0</v>
      </c>
      <c r="AA10" s="74">
        <f>IF(AA6&lt;Assumptions!$H$20,12*'Price_Technical Assumption'!AB21*Assumptions!$H$70,IF(AND(Z6&lt;Assumptions!$H$20,AA6&gt;Assumptions!$H$20),(1-$C$6)*12*'Price_Technical Assumption'!AB21*Assumptions!$H$70,0))</f>
        <v>0</v>
      </c>
      <c r="AB10" s="74">
        <f>IF(AB6&lt;Assumptions!$H$20,12*'Price_Technical Assumption'!AC21*Assumptions!$H$70,IF(AND(AA6&lt;Assumptions!$H$20,AB6&gt;Assumptions!$H$20),(1-$C$6)*12*'Price_Technical Assumption'!AC21*Assumptions!$H$70,0))</f>
        <v>0</v>
      </c>
      <c r="AC10" s="74">
        <f>IF(AC6&lt;Assumptions!$H$20,12*'Price_Technical Assumption'!AD21*Assumptions!$H$70,IF(AND(AB6&lt;Assumptions!$H$20,AC6&gt;Assumptions!$H$20),(1-$C$6)*12*'Price_Technical Assumption'!AD21*Assumptions!$H$70,0))</f>
        <v>0</v>
      </c>
      <c r="AD10" s="74">
        <f>IF(AD6&lt;Assumptions!$H$20,12*'Price_Technical Assumption'!AE21*Assumptions!$H$70,IF(AND(AC6&lt;Assumptions!$H$20,AD6&gt;Assumptions!$H$20),(1-$C$6)*12*'Price_Technical Assumption'!AE21*Assumptions!$H$70,0))</f>
        <v>0</v>
      </c>
      <c r="AE10" s="74">
        <f>IF(AE6&lt;Assumptions!$H$20,12*'Price_Technical Assumption'!AF21*Assumptions!$H$70,IF(AND(AD6&lt;Assumptions!$H$20,AE6&gt;Assumptions!$H$20),(1-$C$6)*12*'Price_Technical Assumption'!AF21*Assumptions!$H$70,0))</f>
        <v>0</v>
      </c>
      <c r="AF10" s="74">
        <f>IF(AF6&lt;Assumptions!$H$20,12*'Price_Technical Assumption'!AG21*Assumptions!$H$70,IF(AND(AE6&lt;Assumptions!$H$20,AF6&gt;Assumptions!$H$20),(1-$C$6)*12*'Price_Technical Assumption'!AG21*Assumptions!$H$70,0))</f>
        <v>0</v>
      </c>
      <c r="AG10" s="74">
        <f>IF(AG6&lt;Assumptions!$H$20,12*'Price_Technical Assumption'!AH21*Assumptions!$H$70,IF(AND(AF6&lt;Assumptions!$H$20,AG6&gt;Assumptions!$H$20),(1-$C$6)*12*'Price_Technical Assumption'!AH21*Assumptions!$H$70,0))</f>
        <v>0</v>
      </c>
    </row>
    <row r="11" spans="1:33">
      <c r="A11" s="3" t="s">
        <v>113</v>
      </c>
      <c r="C11" s="74">
        <f>'Price_Technical Assumption'!D38*Assumptions!$H$63/1000</f>
        <v>4213.4639399999996</v>
      </c>
      <c r="D11" s="74">
        <f>'Price_Technical Assumption'!E38*Assumptions!$H$63/1000</f>
        <v>4213.4639399999996</v>
      </c>
      <c r="E11" s="74">
        <f>'Price_Technical Assumption'!F38*Assumptions!$H$63/1000</f>
        <v>4213.4639399999996</v>
      </c>
      <c r="F11" s="74">
        <f>'Price_Technical Assumption'!G38*Assumptions!$H$63/1000</f>
        <v>4213.4639399999996</v>
      </c>
      <c r="G11" s="74">
        <f>'Price_Technical Assumption'!H38*Assumptions!$H$63/1000</f>
        <v>4213.4639399999996</v>
      </c>
      <c r="H11" s="74">
        <f>'Price_Technical Assumption'!I38*Assumptions!$H$63/1000</f>
        <v>4213.4639399999996</v>
      </c>
      <c r="I11" s="74">
        <f>'Price_Technical Assumption'!J38*Assumptions!$H$63/1000</f>
        <v>4213.4639399999996</v>
      </c>
      <c r="J11" s="74">
        <f>'Price_Technical Assumption'!K38*Assumptions!$H$63/1000</f>
        <v>4213.4639399999996</v>
      </c>
      <c r="K11" s="74">
        <f>'Price_Technical Assumption'!L38*Assumptions!$H$63/1000</f>
        <v>4213.4639399999996</v>
      </c>
      <c r="L11" s="74">
        <f>'Price_Technical Assumption'!M38*Assumptions!$H$63/1000</f>
        <v>4213.4639399999996</v>
      </c>
      <c r="M11" s="74">
        <f>'Price_Technical Assumption'!N38*Assumptions!$H$63/1000</f>
        <v>4213.4639399999996</v>
      </c>
      <c r="N11" s="74">
        <f>'Price_Technical Assumption'!O38*Assumptions!$H$63/1000</f>
        <v>4213.4639399999996</v>
      </c>
      <c r="O11" s="74">
        <f>'Price_Technical Assumption'!P38*Assumptions!$H$63/1000</f>
        <v>4213.4639399999996</v>
      </c>
      <c r="P11" s="74">
        <f>'Price_Technical Assumption'!Q38*Assumptions!$H$63/1000</f>
        <v>4213.4639399999996</v>
      </c>
      <c r="Q11" s="74">
        <f>'Price_Technical Assumption'!R38*Assumptions!$H$63/1000</f>
        <v>4213.4639399999996</v>
      </c>
      <c r="R11" s="74">
        <f>'Price_Technical Assumption'!S38*Assumptions!$H$63/1000</f>
        <v>4213.4639399999996</v>
      </c>
      <c r="S11" s="74">
        <f>'Price_Technical Assumption'!T38*Assumptions!$H$63/1000</f>
        <v>4213.4639399999996</v>
      </c>
      <c r="T11" s="74">
        <f>'Price_Technical Assumption'!U38*Assumptions!$H$63/1000</f>
        <v>4213.4639399999996</v>
      </c>
      <c r="U11" s="74">
        <f>'Price_Technical Assumption'!V38*Assumptions!$H$63/1000</f>
        <v>4213.4639399999996</v>
      </c>
      <c r="V11" s="74">
        <f>'Price_Technical Assumption'!W38*Assumptions!$H$63/1000</f>
        <v>4213.4639399999996</v>
      </c>
      <c r="W11" s="74">
        <f>'Price_Technical Assumption'!X38*Assumptions!$H$63/1000</f>
        <v>4213.4639399999996</v>
      </c>
      <c r="X11" s="74">
        <f>'Price_Technical Assumption'!Y38*Assumptions!$H$63/1000</f>
        <v>4213.4639399999996</v>
      </c>
      <c r="Y11" s="74">
        <f>'Price_Technical Assumption'!Z38*Assumptions!$H$63/1000</f>
        <v>4213.4639399999996</v>
      </c>
      <c r="Z11" s="74">
        <f>'Price_Technical Assumption'!AA38*Assumptions!$H$63/1000</f>
        <v>4213.4639399999996</v>
      </c>
      <c r="AA11" s="74">
        <f>'Price_Technical Assumption'!AB38*Assumptions!$H$63/1000</f>
        <v>4213.4639399999996</v>
      </c>
      <c r="AB11" s="74">
        <f>'Price_Technical Assumption'!AC38*Assumptions!$H$63/1000</f>
        <v>4213.4639399999996</v>
      </c>
      <c r="AC11" s="74">
        <f>'Price_Technical Assumption'!AD38*Assumptions!$H$63/1000</f>
        <v>4213.4639399999996</v>
      </c>
      <c r="AD11" s="74">
        <f>'Price_Technical Assumption'!AE38*Assumptions!$H$63/1000</f>
        <v>4213.4639399999996</v>
      </c>
      <c r="AE11" s="74">
        <f>'Price_Technical Assumption'!AF38*Assumptions!$H$63/1000</f>
        <v>4213.4639399999996</v>
      </c>
      <c r="AF11" s="74">
        <f>'Price_Technical Assumption'!AG38*Assumptions!$H$63/1000</f>
        <v>4213.4639399999996</v>
      </c>
      <c r="AG11" s="74">
        <f>'Price_Technical Assumption'!AH38*Assumptions!$H$63/1000</f>
        <v>4213.4639399999996</v>
      </c>
    </row>
    <row r="12" spans="1:33">
      <c r="A12" s="204" t="s">
        <v>114</v>
      </c>
      <c r="C12" s="361">
        <v>0</v>
      </c>
      <c r="D12" s="361">
        <v>0</v>
      </c>
      <c r="E12" s="361">
        <v>0</v>
      </c>
      <c r="F12" s="361">
        <v>0</v>
      </c>
      <c r="G12" s="361">
        <v>0</v>
      </c>
      <c r="H12" s="361">
        <v>0</v>
      </c>
      <c r="I12" s="361">
        <v>0</v>
      </c>
      <c r="J12" s="361">
        <v>0</v>
      </c>
      <c r="K12" s="361">
        <v>0</v>
      </c>
      <c r="L12" s="361">
        <v>0</v>
      </c>
      <c r="M12" s="361">
        <v>0</v>
      </c>
      <c r="N12" s="361">
        <v>0</v>
      </c>
      <c r="O12" s="361">
        <v>0</v>
      </c>
      <c r="P12" s="361">
        <v>0</v>
      </c>
      <c r="Q12" s="361">
        <v>0</v>
      </c>
      <c r="R12" s="361">
        <v>0</v>
      </c>
      <c r="S12" s="361">
        <v>0</v>
      </c>
      <c r="T12" s="361">
        <v>0</v>
      </c>
      <c r="U12" s="361">
        <v>0</v>
      </c>
      <c r="V12" s="361">
        <v>0</v>
      </c>
      <c r="W12" s="361">
        <v>0</v>
      </c>
      <c r="X12" s="361">
        <v>0</v>
      </c>
      <c r="Y12" s="361">
        <v>0</v>
      </c>
      <c r="Z12" s="361">
        <v>0</v>
      </c>
      <c r="AA12" s="361">
        <v>0</v>
      </c>
      <c r="AB12" s="361">
        <v>0</v>
      </c>
      <c r="AC12" s="361">
        <v>0</v>
      </c>
      <c r="AD12" s="361">
        <v>0</v>
      </c>
      <c r="AE12" s="361">
        <v>0</v>
      </c>
      <c r="AF12" s="361">
        <v>0</v>
      </c>
      <c r="AG12" s="361">
        <v>0</v>
      </c>
    </row>
    <row r="13" spans="1:33">
      <c r="A13" s="170" t="s">
        <v>41</v>
      </c>
      <c r="C13" s="65">
        <f t="shared" ref="C13:AG13" si="0">SUM(C10:C12)</f>
        <v>10901.46394</v>
      </c>
      <c r="D13" s="65">
        <f t="shared" si="0"/>
        <v>14245.46394</v>
      </c>
      <c r="E13" s="65">
        <f t="shared" si="0"/>
        <v>14245.46394</v>
      </c>
      <c r="F13" s="65">
        <f t="shared" si="0"/>
        <v>14245.46394</v>
      </c>
      <c r="G13" s="65">
        <f t="shared" si="0"/>
        <v>14245.46394</v>
      </c>
      <c r="H13" s="65">
        <f t="shared" si="0"/>
        <v>14245.46394</v>
      </c>
      <c r="I13" s="65">
        <f t="shared" si="0"/>
        <v>14245.46394</v>
      </c>
      <c r="J13" s="65">
        <f t="shared" si="0"/>
        <v>14245.46394</v>
      </c>
      <c r="K13" s="65">
        <f t="shared" si="0"/>
        <v>14245.46394</v>
      </c>
      <c r="L13" s="65">
        <f t="shared" si="0"/>
        <v>14245.46394</v>
      </c>
      <c r="M13" s="65">
        <f t="shared" si="0"/>
        <v>14245.46394</v>
      </c>
      <c r="N13" s="65">
        <f t="shared" si="0"/>
        <v>14245.46394</v>
      </c>
      <c r="O13" s="65">
        <f t="shared" si="0"/>
        <v>14245.46394</v>
      </c>
      <c r="P13" s="65">
        <f t="shared" si="0"/>
        <v>14245.46394</v>
      </c>
      <c r="Q13" s="65">
        <f t="shared" si="0"/>
        <v>14245.46394</v>
      </c>
      <c r="R13" s="65">
        <f t="shared" si="0"/>
        <v>14245.46394</v>
      </c>
      <c r="S13" s="65">
        <f t="shared" si="0"/>
        <v>14245.46394</v>
      </c>
      <c r="T13" s="65">
        <f t="shared" si="0"/>
        <v>14245.46394</v>
      </c>
      <c r="U13" s="65">
        <f t="shared" si="0"/>
        <v>14245.46394</v>
      </c>
      <c r="V13" s="65">
        <f t="shared" si="0"/>
        <v>14245.46394</v>
      </c>
      <c r="W13" s="65">
        <f t="shared" si="0"/>
        <v>8218.6149723095095</v>
      </c>
      <c r="X13" s="65">
        <f t="shared" si="0"/>
        <v>4213.4639399999996</v>
      </c>
      <c r="Y13" s="65">
        <f t="shared" si="0"/>
        <v>4213.4639399999996</v>
      </c>
      <c r="Z13" s="65">
        <f t="shared" si="0"/>
        <v>4213.4639399999996</v>
      </c>
      <c r="AA13" s="65">
        <f t="shared" si="0"/>
        <v>4213.4639399999996</v>
      </c>
      <c r="AB13" s="65">
        <f t="shared" si="0"/>
        <v>4213.4639399999996</v>
      </c>
      <c r="AC13" s="65">
        <f t="shared" si="0"/>
        <v>4213.4639399999996</v>
      </c>
      <c r="AD13" s="65">
        <f t="shared" si="0"/>
        <v>4213.4639399999996</v>
      </c>
      <c r="AE13" s="65">
        <f t="shared" si="0"/>
        <v>4213.4639399999996</v>
      </c>
      <c r="AF13" s="65">
        <f t="shared" si="0"/>
        <v>4213.4639399999996</v>
      </c>
      <c r="AG13" s="65">
        <f t="shared" si="0"/>
        <v>4213.4639399999996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4">
        <f>Assumptions!$H$63*'Price_Technical Assumption'!D30*'Price_Technical Assumption'!D44/1000000</f>
        <v>4213.4639399999996</v>
      </c>
      <c r="D16" s="214">
        <f>Assumptions!$H$63*'Price_Technical Assumption'!E30*'Price_Technical Assumption'!E44/1000000</f>
        <v>4213.4639399999996</v>
      </c>
      <c r="E16" s="214">
        <f>Assumptions!$H$63*'Price_Technical Assumption'!F30*'Price_Technical Assumption'!F44/1000000</f>
        <v>4213.4639399999996</v>
      </c>
      <c r="F16" s="214">
        <f>Assumptions!$H$63*'Price_Technical Assumption'!G30*'Price_Technical Assumption'!G44/1000000</f>
        <v>4213.4639399999996</v>
      </c>
      <c r="G16" s="214">
        <f>Assumptions!$H$63*'Price_Technical Assumption'!H30*'Price_Technical Assumption'!H44/1000000</f>
        <v>4213.4639399999996</v>
      </c>
      <c r="H16" s="214">
        <f>Assumptions!$H$63*'Price_Technical Assumption'!I30*'Price_Technical Assumption'!I44/1000000</f>
        <v>4213.4639399999996</v>
      </c>
      <c r="I16" s="214">
        <f>Assumptions!$H$63*'Price_Technical Assumption'!J30*'Price_Technical Assumption'!J44/1000000</f>
        <v>4213.4639399999996</v>
      </c>
      <c r="J16" s="214">
        <f>Assumptions!$H$63*'Price_Technical Assumption'!K30*'Price_Technical Assumption'!K44/1000000</f>
        <v>4213.4639399999996</v>
      </c>
      <c r="K16" s="214">
        <f>Assumptions!$H$63*'Price_Technical Assumption'!L30*'Price_Technical Assumption'!L44/1000000</f>
        <v>4213.4639399999996</v>
      </c>
      <c r="L16" s="214">
        <f>Assumptions!$H$63*'Price_Technical Assumption'!M30*'Price_Technical Assumption'!M44/1000000</f>
        <v>4213.4639399999996</v>
      </c>
      <c r="M16" s="214">
        <f>Assumptions!$H$63*'Price_Technical Assumption'!N30*'Price_Technical Assumption'!N44/1000000</f>
        <v>4213.4639399999996</v>
      </c>
      <c r="N16" s="214">
        <f>Assumptions!$H$63*'Price_Technical Assumption'!O30*'Price_Technical Assumption'!O44/1000000</f>
        <v>4213.4639399999996</v>
      </c>
      <c r="O16" s="214">
        <f>Assumptions!$H$63*'Price_Technical Assumption'!P30*'Price_Technical Assumption'!P44/1000000</f>
        <v>4213.4639399999996</v>
      </c>
      <c r="P16" s="214">
        <f>Assumptions!$H$63*'Price_Technical Assumption'!Q30*'Price_Technical Assumption'!Q44/1000000</f>
        <v>4213.4639399999996</v>
      </c>
      <c r="Q16" s="214">
        <f>Assumptions!$H$63*'Price_Technical Assumption'!R30*'Price_Technical Assumption'!R44/1000000</f>
        <v>4213.4639399999996</v>
      </c>
      <c r="R16" s="214">
        <f>Assumptions!$H$63*'Price_Technical Assumption'!S30*'Price_Technical Assumption'!S44/1000000</f>
        <v>4213.4639399999996</v>
      </c>
      <c r="S16" s="214">
        <f>Assumptions!$H$63*'Price_Technical Assumption'!T30*'Price_Technical Assumption'!T44/1000000</f>
        <v>4213.4639399999996</v>
      </c>
      <c r="T16" s="214">
        <f>Assumptions!$H$63*'Price_Technical Assumption'!U30*'Price_Technical Assumption'!U44/1000000</f>
        <v>4213.4639399999996</v>
      </c>
      <c r="U16" s="214">
        <f>Assumptions!$H$63*'Price_Technical Assumption'!V30*'Price_Technical Assumption'!V44/1000000</f>
        <v>4213.4639399999996</v>
      </c>
      <c r="V16" s="214">
        <f>Assumptions!$H$63*'Price_Technical Assumption'!W30*'Price_Technical Assumption'!W44/1000000</f>
        <v>4213.4639399999996</v>
      </c>
      <c r="W16" s="214">
        <f>Assumptions!$H$63*'Price_Technical Assumption'!X30*'Price_Technical Assumption'!X44/1000000</f>
        <v>4213.4639399999996</v>
      </c>
      <c r="X16" s="214">
        <f>Assumptions!$H$63*'Price_Technical Assumption'!Y30*'Price_Technical Assumption'!Y44/1000000</f>
        <v>4213.4639399999996</v>
      </c>
      <c r="Y16" s="214">
        <f>Assumptions!$H$63*'Price_Technical Assumption'!Z30*'Price_Technical Assumption'!Z44/1000000</f>
        <v>4213.4639399999996</v>
      </c>
      <c r="Z16" s="214">
        <f>Assumptions!$H$63*'Price_Technical Assumption'!AA30*'Price_Technical Assumption'!AA44/1000000</f>
        <v>4213.4639399999996</v>
      </c>
      <c r="AA16" s="214">
        <f>Assumptions!$H$63*'Price_Technical Assumption'!AB30*'Price_Technical Assumption'!AB44/1000000</f>
        <v>4213.4639399999996</v>
      </c>
      <c r="AB16" s="214">
        <f>Assumptions!$H$63*'Price_Technical Assumption'!AC30*'Price_Technical Assumption'!AC44/1000000</f>
        <v>4213.4639399999996</v>
      </c>
      <c r="AC16" s="214">
        <f>Assumptions!$H$63*'Price_Technical Assumption'!AD30*'Price_Technical Assumption'!AD44/1000000</f>
        <v>4213.4639399999996</v>
      </c>
      <c r="AD16" s="214">
        <f>Assumptions!$H$63*'Price_Technical Assumption'!AE30*'Price_Technical Assumption'!AE44/1000000</f>
        <v>4213.4639399999996</v>
      </c>
      <c r="AE16" s="214">
        <f>Assumptions!$H$63*'Price_Technical Assumption'!AF30*'Price_Technical Assumption'!AF44/1000000</f>
        <v>4213.4639399999996</v>
      </c>
      <c r="AF16" s="214">
        <f>Assumptions!$H$63*'Price_Technical Assumption'!AG30*'Price_Technical Assumption'!AG44/1000000</f>
        <v>4213.4639399999996</v>
      </c>
      <c r="AG16" s="214">
        <f>Assumptions!$H$63*'Price_Technical Assumption'!AH30*'Price_Technical Assumption'!AH44/1000000</f>
        <v>4213.4639399999996</v>
      </c>
    </row>
    <row r="17" spans="1:47">
      <c r="A17" s="3" t="s">
        <v>193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238</v>
      </c>
      <c r="C18" s="214">
        <f>+(Assumptions!$P$15*Assumptions!$H$63)/1000*(1+Assumptions!$N$11)^IS!C6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239</v>
      </c>
      <c r="C19" s="74">
        <f>Assumptions!$P$16*Assumptions!$H$63/1000*(1+Assumptions!$N$11)^IS!C6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Assumptions!$N20*Assumptions!H19/12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Assumptions!$N21*Assumptions!H19/12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339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205</v>
      </c>
      <c r="C23" s="521">
        <v>0</v>
      </c>
      <c r="D23" s="189">
        <f>C23*(1+Assumptions!$P$30)</f>
        <v>0</v>
      </c>
      <c r="E23" s="189">
        <f>D23*(1+Assumptions!$P$30)</f>
        <v>0</v>
      </c>
      <c r="F23" s="189">
        <f>E23*(1+Assumptions!$P$30)</f>
        <v>0</v>
      </c>
      <c r="G23" s="189">
        <f>F23*(1+Assumptions!$P$30)</f>
        <v>0</v>
      </c>
      <c r="H23" s="189">
        <f>G23*(1+Assumptions!$P$30)</f>
        <v>0</v>
      </c>
      <c r="I23" s="189">
        <f>H23*(1+Assumptions!$P$30)</f>
        <v>0</v>
      </c>
      <c r="J23" s="189">
        <f>I23*(1+Assumptions!$P$30)</f>
        <v>0</v>
      </c>
      <c r="K23" s="189">
        <f>J23*(1+Assumptions!$P$30)</f>
        <v>0</v>
      </c>
      <c r="L23" s="189">
        <f>K23*(1+Assumptions!$P$30)</f>
        <v>0</v>
      </c>
      <c r="M23" s="189">
        <f>L23*(1+Assumptions!$P$30)</f>
        <v>0</v>
      </c>
      <c r="N23" s="189">
        <f>M23*(1+Assumptions!$P$30)</f>
        <v>0</v>
      </c>
      <c r="O23" s="189">
        <f>N23*(1+Assumptions!$P$30)</f>
        <v>0</v>
      </c>
      <c r="P23" s="189">
        <f>O23*(1+Assumptions!$P$30)</f>
        <v>0</v>
      </c>
      <c r="Q23" s="189">
        <f>P23*(1+Assumptions!$P$30)</f>
        <v>0</v>
      </c>
      <c r="R23" s="189">
        <f>Q23*(1+Assumptions!$P$30)</f>
        <v>0</v>
      </c>
      <c r="S23" s="189">
        <f>R23*(1+Assumptions!$P$30)</f>
        <v>0</v>
      </c>
      <c r="T23" s="189">
        <f>S23*(1+Assumptions!$P$30)</f>
        <v>0</v>
      </c>
      <c r="U23" s="189">
        <f>T23*(1+Assumptions!$P$30)</f>
        <v>0</v>
      </c>
      <c r="V23" s="189">
        <f>U23*(1+Assumptions!$P$30)</f>
        <v>0</v>
      </c>
      <c r="W23" s="189">
        <f>V23*(1+Assumptions!$P$30)</f>
        <v>0</v>
      </c>
      <c r="X23" s="189">
        <f>W23*(1+Assumptions!$P$30)</f>
        <v>0</v>
      </c>
      <c r="Y23" s="189">
        <f>X23*(1+Assumptions!$P$30)</f>
        <v>0</v>
      </c>
      <c r="Z23" s="189">
        <f>Y23*(1+Assumptions!$P$30)</f>
        <v>0</v>
      </c>
      <c r="AA23" s="189">
        <f>Z23*(1+Assumptions!$P$30)</f>
        <v>0</v>
      </c>
      <c r="AB23" s="189">
        <f>AA23*(1+Assumptions!$P$30)</f>
        <v>0</v>
      </c>
      <c r="AC23" s="189">
        <f>AB23*(1+Assumptions!$P$30)</f>
        <v>0</v>
      </c>
      <c r="AD23" s="189">
        <f>AC23*(1+Assumptions!$P$30)</f>
        <v>0</v>
      </c>
      <c r="AE23" s="189">
        <f>AD23*(1+Assumptions!$P$30)</f>
        <v>0</v>
      </c>
      <c r="AF23" s="189">
        <f>AE23*(1+Assumptions!$P$30)</f>
        <v>0</v>
      </c>
      <c r="AG23" s="189">
        <f>AF23*(1+Assumptions!$P$30)</f>
        <v>0</v>
      </c>
    </row>
    <row r="24" spans="1:47">
      <c r="A24" s="5" t="s">
        <v>195</v>
      </c>
      <c r="C24" s="74">
        <f>Assumptions!$N$52*Depreciation!D50*Assumptions!H19/12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199</v>
      </c>
      <c r="C25" s="189">
        <v>0</v>
      </c>
      <c r="D25" s="189">
        <v>0</v>
      </c>
      <c r="E25" s="189">
        <v>0</v>
      </c>
      <c r="F25" s="189">
        <v>0</v>
      </c>
      <c r="G25" s="189">
        <v>0</v>
      </c>
      <c r="H25" s="189">
        <v>0</v>
      </c>
      <c r="I25" s="189">
        <v>0</v>
      </c>
      <c r="J25" s="189">
        <v>0</v>
      </c>
      <c r="K25" s="189">
        <v>0</v>
      </c>
      <c r="L25" s="189">
        <v>0</v>
      </c>
      <c r="M25" s="189">
        <v>0</v>
      </c>
      <c r="N25" s="189">
        <v>0</v>
      </c>
      <c r="O25" s="189">
        <v>0</v>
      </c>
      <c r="P25" s="189">
        <v>0</v>
      </c>
      <c r="Q25" s="189">
        <v>0</v>
      </c>
      <c r="R25" s="189">
        <v>0</v>
      </c>
      <c r="S25" s="189">
        <v>0</v>
      </c>
      <c r="T25" s="189">
        <v>0</v>
      </c>
      <c r="U25" s="189">
        <v>0</v>
      </c>
      <c r="V25" s="189">
        <v>0</v>
      </c>
      <c r="W25" s="189">
        <v>0</v>
      </c>
      <c r="X25" s="189">
        <v>0</v>
      </c>
      <c r="Y25" s="189">
        <v>0</v>
      </c>
      <c r="Z25" s="189">
        <v>0</v>
      </c>
      <c r="AA25" s="189">
        <v>0</v>
      </c>
      <c r="AB25" s="189">
        <v>0</v>
      </c>
      <c r="AC25" s="189">
        <v>0</v>
      </c>
      <c r="AD25" s="189">
        <v>0</v>
      </c>
      <c r="AE25" s="189">
        <v>0</v>
      </c>
      <c r="AF25" s="189">
        <v>0</v>
      </c>
      <c r="AG25" s="189">
        <v>0</v>
      </c>
    </row>
    <row r="26" spans="1:47">
      <c r="A26" s="13" t="s">
        <v>20</v>
      </c>
      <c r="C26" s="74">
        <f>IF(C8&lt;Assumptions!$G$35,Assumptions!$G$43*Assumptions!$G$42*C6,0)</f>
        <v>0</v>
      </c>
      <c r="D26" s="74">
        <f>IF(D8&lt;Assumptions!$G$35,Assumptions!$G$43*Assumptions!$G$42,IF(AND(D8&gt;Assumptions!$G$35,C8&lt;Assumptions!$G$35),Assumptions!$G$43*Assumptions!$G$42*(1-$C$6),0))</f>
        <v>0</v>
      </c>
      <c r="E26" s="74">
        <f>IF(E8&lt;Assumptions!$G$35,Assumptions!$G$43*Assumptions!$G$42,IF(AND(E8&gt;Assumptions!$G$35,D8&lt;Assumptions!$G$35),Assumptions!$G$43*Assumptions!$G$42*(1-$C$6),0))</f>
        <v>0</v>
      </c>
      <c r="F26" s="74">
        <f>IF(F8&lt;Assumptions!$G$35,Assumptions!$G$43*Assumptions!$G$42,IF(AND(F8&gt;Assumptions!$G$35,E8&lt;Assumptions!$G$35),Assumptions!$G$43*Assumptions!$G$42*(1-$C$6),0))</f>
        <v>0</v>
      </c>
      <c r="G26" s="74">
        <f>IF(G8&lt;Assumptions!$G$35,Assumptions!$G$43*Assumptions!$G$42,IF(AND(G8&gt;Assumptions!$G$35,F8&lt;Assumptions!$G$35),Assumptions!$G$43*Assumptions!$G$42*(1-$C$6),0))</f>
        <v>0</v>
      </c>
      <c r="H26" s="74">
        <f>IF(H8&lt;Assumptions!$G$35,Assumptions!$G$43*Assumptions!$G$42,IF(AND(H8&gt;Assumptions!$G$35,G8&lt;Assumptions!$G$35),Assumptions!$G$43*Assumptions!$G$42*(1-$C$6),0))</f>
        <v>0</v>
      </c>
      <c r="I26" s="74">
        <f>IF(I8&lt;Assumptions!$G$35,Assumptions!$G$43*Assumptions!$G$42,IF(AND(I8&gt;Assumptions!$G$35,H8&lt;Assumptions!$G$35),Assumptions!$G$43*Assumptions!$G$42*(1-$C$6),0))</f>
        <v>0</v>
      </c>
      <c r="J26" s="74">
        <f>IF(J8&lt;Assumptions!$G$35,Assumptions!$G$43*Assumptions!$G$42,IF(AND(J8&gt;Assumptions!$G$35,I8&lt;Assumptions!$G$35),Assumptions!$G$43*Assumptions!$G$42*(1-$C$6),0))</f>
        <v>0</v>
      </c>
      <c r="K26" s="74">
        <f>IF(K8&lt;Assumptions!$G$35,Assumptions!$G$43*Assumptions!$G$42,IF(AND(K8&gt;Assumptions!$G$35,J8&lt;Assumptions!$G$35),Assumptions!$G$43*Assumptions!$G$42*(1-$C$6),0))</f>
        <v>0</v>
      </c>
      <c r="L26" s="74">
        <f>IF(L8&lt;Assumptions!$G$35,Assumptions!$G$43*Assumptions!$G$42,IF(AND(L8&gt;Assumptions!$G$35,K8&lt;Assumptions!$G$35),Assumptions!$G$43*Assumptions!$G$42*(1-$C$6),0))</f>
        <v>0</v>
      </c>
      <c r="M26" s="74">
        <f>IF(M8&lt;Assumptions!$G$35,Assumptions!$G$43*Assumptions!$G$42,IF(AND(M8&gt;Assumptions!$G$35,L8&lt;Assumptions!$G$35),Assumptions!$G$43*Assumptions!$G$42*(1-$C$6),0))</f>
        <v>0</v>
      </c>
      <c r="N26" s="74">
        <f>IF(N8&lt;Assumptions!$G$35,Assumptions!$G$43*Assumptions!$G$42,IF(AND(N8&gt;Assumptions!$G$35,M8&lt;Assumptions!$G$35),Assumptions!$G$43*Assumptions!$G$42*(1-$C$6),0))</f>
        <v>0</v>
      </c>
      <c r="O26" s="74">
        <f>IF(O8&lt;Assumptions!$G$35,Assumptions!$G$43*Assumptions!$G$42,IF(AND(O8&gt;Assumptions!$G$35,N8&lt;Assumptions!$G$35),Assumptions!$G$43*Assumptions!$G$42*(1-$C$6),0))</f>
        <v>0</v>
      </c>
      <c r="P26" s="74">
        <f>IF(P8&lt;Assumptions!$G$35,Assumptions!$G$43*Assumptions!$G$42,IF(AND(P8&gt;Assumptions!$G$35,O8&lt;Assumptions!$G$35),Assumptions!$G$43*Assumptions!$G$42*(1-$C$6),0))</f>
        <v>0</v>
      </c>
      <c r="Q26" s="74">
        <f>IF(Q8&lt;Assumptions!$G$35,Assumptions!$G$43*Assumptions!$G$42,IF(AND(Q8&gt;Assumptions!$G$35,P8&lt;Assumptions!$G$35),Assumptions!$G$43*Assumptions!$G$42*(1-$C$6),0))</f>
        <v>0</v>
      </c>
      <c r="R26" s="74">
        <f>IF(R8&lt;Assumptions!$G$35,Assumptions!$G$43*Assumptions!$G$42,IF(AND(R8&gt;Assumptions!$G$35,Q8&lt;Assumptions!$G$35),Assumptions!$G$43*Assumptions!$G$42*(1-$C$6),0))</f>
        <v>0</v>
      </c>
      <c r="S26" s="74">
        <f>IF(S8&lt;Assumptions!$G$35,Assumptions!$G$43*Assumptions!$G$42,IF(AND(S8&gt;Assumptions!$G$35,R8&lt;Assumptions!$G$35),Assumptions!$G$43*Assumptions!$G$42*(1-$C$6),0))</f>
        <v>0</v>
      </c>
      <c r="T26" s="74">
        <f>IF(T8&lt;Assumptions!$G$35,Assumptions!$G$43*Assumptions!$G$42,IF(AND(T8&gt;Assumptions!$G$35,S8&lt;Assumptions!$G$35),Assumptions!$G$43*Assumptions!$G$42*(1-$C$6),0))</f>
        <v>0</v>
      </c>
      <c r="U26" s="74">
        <f>IF(U8&lt;Assumptions!$G$35,Assumptions!$G$43*Assumptions!$G$42,IF(AND(U8&gt;Assumptions!$G$35,T8&lt;Assumptions!$G$35),Assumptions!$G$43*Assumptions!$G$42*(1-$C$6),0))</f>
        <v>0</v>
      </c>
      <c r="V26" s="74">
        <f>IF(V8&lt;Assumptions!$G$35,Assumptions!$G$43*Assumptions!$G$42,IF(AND(V8&gt;Assumptions!$G$35,U8&lt;Assumptions!$G$35),Assumptions!$G$43*Assumptions!$G$42*(1-$C$6),0))</f>
        <v>0</v>
      </c>
      <c r="W26" s="74">
        <f>IF(W8&lt;Assumptions!$G$35,Assumptions!$G$43*Assumptions!$G$42,IF(AND(W8&gt;Assumptions!$G$35,V8&lt;Assumptions!$G$35),Assumptions!$G$43*Assumptions!$G$42*(1-$C$6),0))</f>
        <v>0</v>
      </c>
      <c r="X26" s="74">
        <f>IF(X8&lt;Assumptions!$G$35,Assumptions!$G$43*Assumptions!$G$42,IF(AND(X8&gt;Assumptions!$G$35,W8&lt;Assumptions!$G$35),Assumptions!$G$43*Assumptions!$G$42*(1-$C$6),0))</f>
        <v>0</v>
      </c>
      <c r="Y26" s="74">
        <f>IF(Y8&lt;Assumptions!$G$35,Assumptions!$G$43*Assumptions!$G$42,IF(AND(Y8&gt;Assumptions!$G$35,X8&lt;Assumptions!$G$35),Assumptions!$G$43*Assumptions!$G$42*(1-$C$6),0))</f>
        <v>0</v>
      </c>
      <c r="Z26" s="74">
        <f>IF(Z8&lt;Assumptions!$G$35,Assumptions!$G$43*Assumptions!$G$42,IF(AND(Z8&gt;Assumptions!$G$35,Y8&lt;Assumptions!$G$35),Assumptions!$G$43*Assumptions!$G$42*(1-$C$6),0))</f>
        <v>0</v>
      </c>
      <c r="AA26" s="74">
        <f>IF(AA8&lt;Assumptions!$G$35,Assumptions!$G$43*Assumptions!$G$42,IF(AND(AA8&gt;Assumptions!$G$35,Z8&lt;Assumptions!$G$35),Assumptions!$G$43*Assumptions!$G$42*(1-$C$6),0))</f>
        <v>0</v>
      </c>
      <c r="AB26" s="74">
        <f>IF(AB8&lt;Assumptions!$G$35,Assumptions!$G$43*Assumptions!$G$42,IF(AND(AB8&gt;Assumptions!$G$35,AA8&lt;Assumptions!$G$35),Assumptions!$G$43*Assumptions!$G$42*(1-$C$6),0))</f>
        <v>0</v>
      </c>
      <c r="AC26" s="74">
        <f>IF(AC8&lt;Assumptions!$G$35,Assumptions!$G$43*Assumptions!$G$42,IF(AND(AC8&gt;Assumptions!$G$35,AB8&lt;Assumptions!$G$35),Assumptions!$G$43*Assumptions!$G$42*(1-$C$6),0))</f>
        <v>0</v>
      </c>
      <c r="AD26" s="74">
        <f>IF(AD8&lt;Assumptions!$G$35,Assumptions!$G$43*Assumptions!$G$42,IF(AND(AD8&gt;Assumptions!$G$35,AC8&lt;Assumptions!$G$35),Assumptions!$G$43*Assumptions!$G$42*(1-$C$6),0))</f>
        <v>0</v>
      </c>
      <c r="AE26" s="74">
        <f>IF(AE8&lt;Assumptions!$G$35,Assumptions!$G$43*Assumptions!$G$42,IF(AND(AE8&gt;Assumptions!$G$35,AD8&lt;Assumptions!$G$35),Assumptions!$G$43*Assumptions!$G$42*(1-$C$6),0))</f>
        <v>0</v>
      </c>
      <c r="AF26" s="74">
        <f>IF(AF8&lt;Assumptions!$G$35,Assumptions!$G$43*Assumptions!$G$42,IF(AND(AF8&gt;Assumptions!$G$35,AE8&lt;Assumptions!$G$35),Assumptions!$G$43*Assumptions!$G$42*(1-$C$6),0))</f>
        <v>0</v>
      </c>
      <c r="AG26" s="74">
        <f>IF(AG8&lt;Assumptions!$G$35,Assumptions!$G$43*Assumptions!$G$42,IF(AND(AG8&gt;Assumptions!$G$35,AF8&lt;Assumptions!$G$35),Assumptions!$G$43*Assumptions!$G$42*(1-$C$6),0))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Assumptions!$O$23*Assumptions!$H$70*Assumptions!H19/12</f>
        <v>0</v>
      </c>
      <c r="D27" s="74">
        <f>Assumptions!$O$23*Assumptions!$H$70*(1+Assumptions!$N$11)</f>
        <v>0</v>
      </c>
      <c r="E27" s="74">
        <f>Assumptions!$O$23*Assumptions!$H$70*(1+Assumptions!$N$11)</f>
        <v>0</v>
      </c>
      <c r="F27" s="74">
        <f>Assumptions!$O$23*Assumptions!$H$70*(1+Assumptions!$N$11)</f>
        <v>0</v>
      </c>
      <c r="G27" s="74">
        <f>Assumptions!$O$23*Assumptions!$H$70*(1+Assumptions!$N$11)</f>
        <v>0</v>
      </c>
      <c r="H27" s="74">
        <f>Assumptions!$O$23*Assumptions!$H$70*(1+Assumptions!$N$11)</f>
        <v>0</v>
      </c>
      <c r="I27" s="74">
        <f>Assumptions!$O$23*Assumptions!$H$70*(1+Assumptions!$N$11)</f>
        <v>0</v>
      </c>
      <c r="J27" s="74">
        <f>Assumptions!$O$23*Assumptions!$H$70*(1+Assumptions!$N$11)</f>
        <v>0</v>
      </c>
      <c r="K27" s="74">
        <f>Assumptions!$O$23*Assumptions!$H$70*(1+Assumptions!$N$11)</f>
        <v>0</v>
      </c>
      <c r="L27" s="74">
        <f>Assumptions!$O$23*Assumptions!$H$70*(1+Assumptions!$N$11)</f>
        <v>0</v>
      </c>
      <c r="M27" s="74">
        <f>Assumptions!$O$23*Assumptions!$H$70*(1+Assumptions!$N$11)</f>
        <v>0</v>
      </c>
      <c r="N27" s="74">
        <f>Assumptions!$O$23*Assumptions!$H$70*(1+Assumptions!$N$11)</f>
        <v>0</v>
      </c>
      <c r="O27" s="74">
        <f>Assumptions!$O$23*Assumptions!$H$70*(1+Assumptions!$N$11)</f>
        <v>0</v>
      </c>
      <c r="P27" s="74">
        <f>Assumptions!$O$23*Assumptions!$H$70*(1+Assumptions!$N$11)</f>
        <v>0</v>
      </c>
      <c r="Q27" s="74">
        <f>Assumptions!$O$23*Assumptions!$H$70*(1+Assumptions!$N$11)</f>
        <v>0</v>
      </c>
      <c r="R27" s="74">
        <f>Assumptions!$O$23*Assumptions!$H$70*(1+Assumptions!$N$11)</f>
        <v>0</v>
      </c>
      <c r="S27" s="74">
        <f>Assumptions!$O$23*Assumptions!$H$70*(1+Assumptions!$N$11)</f>
        <v>0</v>
      </c>
      <c r="T27" s="74">
        <f>Assumptions!$O$23*Assumptions!$H$70*(1+Assumptions!$N$11)</f>
        <v>0</v>
      </c>
      <c r="U27" s="74">
        <f>Assumptions!$O$23*Assumptions!$H$70*(1+Assumptions!$N$11)</f>
        <v>0</v>
      </c>
      <c r="V27" s="74">
        <f>Assumptions!$O$23*Assumptions!$H$70*(1+Assumptions!$N$11)</f>
        <v>0</v>
      </c>
      <c r="W27" s="74">
        <f>Assumptions!$O$23*Assumptions!$H$70*(1+Assumptions!$N$11)</f>
        <v>0</v>
      </c>
      <c r="X27" s="74">
        <f>Assumptions!$O$23*Assumptions!$H$70*(1+Assumptions!$N$11)</f>
        <v>0</v>
      </c>
      <c r="Y27" s="74">
        <f>Assumptions!$O$23*Assumptions!$H$70*(1+Assumptions!$N$11)</f>
        <v>0</v>
      </c>
      <c r="Z27" s="74">
        <f>Assumptions!$O$23*Assumptions!$H$70*(1+Assumptions!$N$11)</f>
        <v>0</v>
      </c>
      <c r="AA27" s="74">
        <f>Assumptions!$O$23*Assumptions!$H$70*(1+Assumptions!$N$11)</f>
        <v>0</v>
      </c>
      <c r="AB27" s="74">
        <f>Assumptions!$O$23*Assumptions!$H$70*(1+Assumptions!$N$11)</f>
        <v>0</v>
      </c>
      <c r="AC27" s="74">
        <f>Assumptions!$O$23*Assumptions!$H$70*(1+Assumptions!$N$11)</f>
        <v>0</v>
      </c>
      <c r="AD27" s="74">
        <f>Assumptions!$O$23*Assumptions!$H$70*(1+Assumptions!$N$11)</f>
        <v>0</v>
      </c>
      <c r="AE27" s="74">
        <f>Assumptions!$O$23*Assumptions!$H$70*(1+Assumptions!$N$11)</f>
        <v>0</v>
      </c>
      <c r="AF27" s="74">
        <f>Assumptions!$O$23*Assumptions!$H$70*(1+Assumptions!$N$11)</f>
        <v>0</v>
      </c>
      <c r="AG27" s="74">
        <f>Assumptions!$O$23*Assumptions!$H$70*(1+Assumptions!$N$11)</f>
        <v>0</v>
      </c>
    </row>
    <row r="28" spans="1:47">
      <c r="A28" s="3" t="s">
        <v>45</v>
      </c>
      <c r="C28" s="74">
        <f>Assumptions!$N24*Assumptions!H19/12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Assumptions!$N25*Assumptions!H19/12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47</v>
      </c>
      <c r="C30" s="65">
        <f t="shared" ref="C30:X30" si="1">SUM(C16:C29)</f>
        <v>4213.4639399999996</v>
      </c>
      <c r="D30" s="65">
        <f t="shared" si="1"/>
        <v>4213.4639399999996</v>
      </c>
      <c r="E30" s="65">
        <f t="shared" si="1"/>
        <v>4213.4639399999996</v>
      </c>
      <c r="F30" s="65">
        <f t="shared" si="1"/>
        <v>4213.4639399999996</v>
      </c>
      <c r="G30" s="65">
        <f t="shared" si="1"/>
        <v>4213.4639399999996</v>
      </c>
      <c r="H30" s="65">
        <f t="shared" si="1"/>
        <v>4213.4639399999996</v>
      </c>
      <c r="I30" s="65">
        <f t="shared" si="1"/>
        <v>4213.4639399999996</v>
      </c>
      <c r="J30" s="65">
        <f t="shared" si="1"/>
        <v>4213.4639399999996</v>
      </c>
      <c r="K30" s="65">
        <f t="shared" si="1"/>
        <v>4213.4639399999996</v>
      </c>
      <c r="L30" s="65">
        <f t="shared" si="1"/>
        <v>4213.4639399999996</v>
      </c>
      <c r="M30" s="65">
        <f t="shared" si="1"/>
        <v>4213.4639399999996</v>
      </c>
      <c r="N30" s="65">
        <f t="shared" si="1"/>
        <v>4213.4639399999996</v>
      </c>
      <c r="O30" s="65">
        <f t="shared" si="1"/>
        <v>4213.4639399999996</v>
      </c>
      <c r="P30" s="65">
        <f t="shared" si="1"/>
        <v>4213.4639399999996</v>
      </c>
      <c r="Q30" s="65">
        <f t="shared" si="1"/>
        <v>4213.4639399999996</v>
      </c>
      <c r="R30" s="65">
        <f t="shared" si="1"/>
        <v>4213.4639399999996</v>
      </c>
      <c r="S30" s="65">
        <f t="shared" si="1"/>
        <v>4213.4639399999996</v>
      </c>
      <c r="T30" s="65">
        <f t="shared" si="1"/>
        <v>4213.4639399999996</v>
      </c>
      <c r="U30" s="65">
        <f t="shared" si="1"/>
        <v>4213.4639399999996</v>
      </c>
      <c r="V30" s="65">
        <f t="shared" si="1"/>
        <v>4213.4639399999996</v>
      </c>
      <c r="W30" s="65">
        <f t="shared" si="1"/>
        <v>4213.4639399999996</v>
      </c>
      <c r="X30" s="65">
        <f t="shared" si="1"/>
        <v>4213.4639399999996</v>
      </c>
      <c r="Y30" s="65">
        <f t="shared" ref="Y30:AG30" si="2">SUM(Y16:Y29)</f>
        <v>4213.4639399999996</v>
      </c>
      <c r="Z30" s="65">
        <f t="shared" si="2"/>
        <v>4213.4639399999996</v>
      </c>
      <c r="AA30" s="65">
        <f t="shared" si="2"/>
        <v>4213.4639399999996</v>
      </c>
      <c r="AB30" s="65">
        <f t="shared" si="2"/>
        <v>4213.4639399999996</v>
      </c>
      <c r="AC30" s="65">
        <f t="shared" si="2"/>
        <v>4213.4639399999996</v>
      </c>
      <c r="AD30" s="65">
        <f t="shared" si="2"/>
        <v>4213.4639399999996</v>
      </c>
      <c r="AE30" s="65">
        <f t="shared" si="2"/>
        <v>4213.4639399999996</v>
      </c>
      <c r="AF30" s="65">
        <f t="shared" si="2"/>
        <v>4213.4639399999996</v>
      </c>
      <c r="AG30" s="65">
        <f t="shared" si="2"/>
        <v>4213.4639399999996</v>
      </c>
    </row>
    <row r="31" spans="1:47">
      <c r="A31" s="4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  <c r="X31" s="362"/>
      <c r="Y31" s="362"/>
      <c r="Z31" s="362"/>
      <c r="AA31" s="362"/>
      <c r="AB31" s="362"/>
      <c r="AC31" s="362"/>
      <c r="AD31" s="362"/>
      <c r="AE31" s="362"/>
      <c r="AF31" s="362"/>
      <c r="AG31" s="362"/>
    </row>
    <row r="32" spans="1:47">
      <c r="A32" s="1" t="s">
        <v>48</v>
      </c>
      <c r="C32" s="122">
        <f t="shared" ref="C32:X32" si="3">C13-C30</f>
        <v>6688</v>
      </c>
      <c r="D32" s="122">
        <f t="shared" si="3"/>
        <v>10032</v>
      </c>
      <c r="E32" s="122">
        <f t="shared" si="3"/>
        <v>10032</v>
      </c>
      <c r="F32" s="122">
        <f t="shared" si="3"/>
        <v>10032</v>
      </c>
      <c r="G32" s="122">
        <f t="shared" si="3"/>
        <v>10032</v>
      </c>
      <c r="H32" s="122">
        <f t="shared" si="3"/>
        <v>10032</v>
      </c>
      <c r="I32" s="122">
        <f t="shared" si="3"/>
        <v>10032</v>
      </c>
      <c r="J32" s="122">
        <f t="shared" si="3"/>
        <v>10032</v>
      </c>
      <c r="K32" s="122">
        <f t="shared" si="3"/>
        <v>10032</v>
      </c>
      <c r="L32" s="122">
        <f t="shared" si="3"/>
        <v>10032</v>
      </c>
      <c r="M32" s="122">
        <f t="shared" si="3"/>
        <v>10032</v>
      </c>
      <c r="N32" s="122">
        <f t="shared" si="3"/>
        <v>10032</v>
      </c>
      <c r="O32" s="122">
        <f t="shared" si="3"/>
        <v>10032</v>
      </c>
      <c r="P32" s="122">
        <f t="shared" si="3"/>
        <v>10032</v>
      </c>
      <c r="Q32" s="122">
        <f t="shared" si="3"/>
        <v>10032</v>
      </c>
      <c r="R32" s="122">
        <f t="shared" si="3"/>
        <v>10032</v>
      </c>
      <c r="S32" s="122">
        <f t="shared" si="3"/>
        <v>10032</v>
      </c>
      <c r="T32" s="122">
        <f t="shared" si="3"/>
        <v>10032</v>
      </c>
      <c r="U32" s="122">
        <f t="shared" si="3"/>
        <v>10032</v>
      </c>
      <c r="V32" s="122">
        <f t="shared" si="3"/>
        <v>10032</v>
      </c>
      <c r="W32" s="122">
        <f t="shared" si="3"/>
        <v>4005.1510323095099</v>
      </c>
      <c r="X32" s="122">
        <f t="shared" si="3"/>
        <v>0</v>
      </c>
      <c r="Y32" s="122">
        <f t="shared" ref="Y32:AG32" si="4">Y13-Y30</f>
        <v>0</v>
      </c>
      <c r="Z32" s="122">
        <f t="shared" si="4"/>
        <v>0</v>
      </c>
      <c r="AA32" s="122">
        <f t="shared" si="4"/>
        <v>0</v>
      </c>
      <c r="AB32" s="122">
        <f t="shared" si="4"/>
        <v>0</v>
      </c>
      <c r="AC32" s="122">
        <f t="shared" si="4"/>
        <v>0</v>
      </c>
      <c r="AD32" s="122">
        <f t="shared" si="4"/>
        <v>0</v>
      </c>
      <c r="AE32" s="122">
        <f t="shared" si="4"/>
        <v>0</v>
      </c>
      <c r="AF32" s="122">
        <f t="shared" si="4"/>
        <v>0</v>
      </c>
      <c r="AG32" s="122">
        <f t="shared" si="4"/>
        <v>0</v>
      </c>
    </row>
    <row r="33" spans="1:33">
      <c r="A33" s="1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  <c r="X33" s="362"/>
      <c r="Y33" s="362"/>
      <c r="Z33" s="362"/>
      <c r="AA33" s="362"/>
      <c r="AB33" s="362"/>
      <c r="AC33" s="362"/>
      <c r="AD33" s="362"/>
      <c r="AE33" s="362"/>
      <c r="AF33" s="362"/>
      <c r="AG33" s="362"/>
    </row>
    <row r="34" spans="1:33">
      <c r="A34" s="3" t="s">
        <v>49</v>
      </c>
      <c r="C34" s="65">
        <f>Depreciation!D48</f>
        <v>1447.4331558757222</v>
      </c>
      <c r="D34" s="65">
        <f>Depreciation!E48</f>
        <v>2171.1497338135837</v>
      </c>
      <c r="E34" s="65">
        <f>Depreciation!F48</f>
        <v>2171.1497338135837</v>
      </c>
      <c r="F34" s="65">
        <f>Depreciation!G48</f>
        <v>2171.1497338135837</v>
      </c>
      <c r="G34" s="65">
        <f>Depreciation!H48</f>
        <v>2171.1497338135837</v>
      </c>
      <c r="H34" s="65">
        <f>Depreciation!I48</f>
        <v>1829.584087146917</v>
      </c>
      <c r="I34" s="65">
        <f>Depreciation!J48</f>
        <v>1658.8012638135835</v>
      </c>
      <c r="J34" s="65">
        <f>Depreciation!K48</f>
        <v>1658.8012638135835</v>
      </c>
      <c r="K34" s="65">
        <f>Depreciation!L48</f>
        <v>1658.8012638135835</v>
      </c>
      <c r="L34" s="65">
        <f>Depreciation!M48</f>
        <v>1658.8012638135835</v>
      </c>
      <c r="M34" s="65">
        <f>Depreciation!N48</f>
        <v>1658.8012638135835</v>
      </c>
      <c r="N34" s="65">
        <f>Depreciation!O48</f>
        <v>1658.8012638135835</v>
      </c>
      <c r="O34" s="65">
        <f>Depreciation!P48</f>
        <v>1658.8012638135835</v>
      </c>
      <c r="P34" s="65">
        <f>Depreciation!Q48</f>
        <v>1658.8012638135835</v>
      </c>
      <c r="Q34" s="65">
        <f>Depreciation!R48</f>
        <v>1658.8012638135835</v>
      </c>
      <c r="R34" s="65">
        <f>Depreciation!S48</f>
        <v>1658.8012638135835</v>
      </c>
      <c r="S34" s="65">
        <f>Depreciation!T48</f>
        <v>1658.8012638135835</v>
      </c>
      <c r="T34" s="65">
        <f>Depreciation!U48</f>
        <v>1658.8012638135835</v>
      </c>
      <c r="U34" s="65">
        <f>Depreciation!V48</f>
        <v>1658.8012638135835</v>
      </c>
      <c r="V34" s="65">
        <f>Depreciation!W48</f>
        <v>1658.8012638135835</v>
      </c>
      <c r="W34" s="65">
        <f>Depreciation!X48</f>
        <v>1658.8012638135835</v>
      </c>
      <c r="X34" s="65">
        <f>Depreciation!Y48</f>
        <v>1658.8012638135835</v>
      </c>
      <c r="Y34" s="65">
        <f>Depreciation!Z48</f>
        <v>1658.8012638135835</v>
      </c>
      <c r="Z34" s="65">
        <f>Depreciation!AA48</f>
        <v>1658.8012638135835</v>
      </c>
      <c r="AA34" s="65">
        <f>Depreciation!AB48</f>
        <v>1658.8012638135835</v>
      </c>
      <c r="AB34" s="65">
        <f>Depreciation!AC48</f>
        <v>1658.8012638135835</v>
      </c>
      <c r="AC34" s="65">
        <f>Depreciation!AD48</f>
        <v>1658.8012638135835</v>
      </c>
      <c r="AD34" s="65">
        <f>Depreciation!AE48</f>
        <v>1658.8012638135835</v>
      </c>
      <c r="AE34" s="65">
        <f>Depreciation!AF48</f>
        <v>1658.8012638135835</v>
      </c>
      <c r="AF34" s="65">
        <f>Depreciation!AG48</f>
        <v>1658.8012638135835</v>
      </c>
      <c r="AG34" s="65">
        <f>Depreciation!AH48</f>
        <v>552.93375460452796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2">
        <f>C32-C34</f>
        <v>5240.5668441242778</v>
      </c>
      <c r="D36" s="122">
        <f t="shared" ref="D36:X36" si="5">D32-D34</f>
        <v>7860.8502661864168</v>
      </c>
      <c r="E36" s="122">
        <f t="shared" si="5"/>
        <v>7860.8502661864168</v>
      </c>
      <c r="F36" s="122">
        <f t="shared" si="5"/>
        <v>7860.8502661864168</v>
      </c>
      <c r="G36" s="122">
        <f t="shared" si="5"/>
        <v>7860.8502661864168</v>
      </c>
      <c r="H36" s="122">
        <f t="shared" si="5"/>
        <v>8202.4159128530828</v>
      </c>
      <c r="I36" s="122">
        <f t="shared" si="5"/>
        <v>8373.1987361864158</v>
      </c>
      <c r="J36" s="122">
        <f t="shared" si="5"/>
        <v>8373.1987361864158</v>
      </c>
      <c r="K36" s="122">
        <f t="shared" si="5"/>
        <v>8373.1987361864158</v>
      </c>
      <c r="L36" s="122">
        <f t="shared" si="5"/>
        <v>8373.1987361864158</v>
      </c>
      <c r="M36" s="122">
        <f t="shared" si="5"/>
        <v>8373.1987361864158</v>
      </c>
      <c r="N36" s="122">
        <f t="shared" si="5"/>
        <v>8373.1987361864158</v>
      </c>
      <c r="O36" s="122">
        <f t="shared" si="5"/>
        <v>8373.1987361864158</v>
      </c>
      <c r="P36" s="122">
        <f t="shared" si="5"/>
        <v>8373.1987361864158</v>
      </c>
      <c r="Q36" s="122">
        <f t="shared" si="5"/>
        <v>8373.1987361864158</v>
      </c>
      <c r="R36" s="122">
        <f t="shared" si="5"/>
        <v>8373.1987361864158</v>
      </c>
      <c r="S36" s="122">
        <f t="shared" si="5"/>
        <v>8373.1987361864158</v>
      </c>
      <c r="T36" s="122">
        <f t="shared" si="5"/>
        <v>8373.1987361864158</v>
      </c>
      <c r="U36" s="122">
        <f t="shared" si="5"/>
        <v>8373.1987361864158</v>
      </c>
      <c r="V36" s="122">
        <f t="shared" si="5"/>
        <v>8373.1987361864158</v>
      </c>
      <c r="W36" s="122">
        <f t="shared" si="5"/>
        <v>2346.3497684959266</v>
      </c>
      <c r="X36" s="122">
        <f t="shared" si="5"/>
        <v>-1658.8012638135835</v>
      </c>
      <c r="Y36" s="122">
        <f t="shared" ref="Y36:AG36" si="6">Y32-Y34</f>
        <v>-1658.8012638135835</v>
      </c>
      <c r="Z36" s="122">
        <f t="shared" si="6"/>
        <v>-1658.8012638135835</v>
      </c>
      <c r="AA36" s="122">
        <f t="shared" si="6"/>
        <v>-1658.8012638135835</v>
      </c>
      <c r="AB36" s="122">
        <f t="shared" si="6"/>
        <v>-1658.8012638135835</v>
      </c>
      <c r="AC36" s="122">
        <f t="shared" si="6"/>
        <v>-1658.8012638135835</v>
      </c>
      <c r="AD36" s="122">
        <f t="shared" si="6"/>
        <v>-1658.8012638135835</v>
      </c>
      <c r="AE36" s="122">
        <f t="shared" si="6"/>
        <v>-1658.8012638135835</v>
      </c>
      <c r="AF36" s="122">
        <f t="shared" si="6"/>
        <v>-1658.8012638135835</v>
      </c>
      <c r="AG36" s="122">
        <f t="shared" si="6"/>
        <v>-552.93375460452796</v>
      </c>
    </row>
    <row r="37" spans="1:33">
      <c r="A37" s="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</row>
    <row r="38" spans="1:33">
      <c r="A38" s="3" t="s">
        <v>128</v>
      </c>
      <c r="C38" s="65">
        <f>Debt!B57</f>
        <v>4265.5187489236851</v>
      </c>
      <c r="D38" s="65">
        <f>Debt!C57</f>
        <v>6302.7397659701419</v>
      </c>
      <c r="E38" s="65">
        <f>Debt!D57</f>
        <v>6187.5364925189933</v>
      </c>
      <c r="F38" s="65">
        <f>Debt!E57</f>
        <v>6063.3006533926164</v>
      </c>
      <c r="G38" s="65">
        <f>Debt!F57</f>
        <v>5927.6711736507023</v>
      </c>
      <c r="H38" s="65">
        <f>Debt!G57</f>
        <v>5781.8000618801616</v>
      </c>
      <c r="I38" s="65">
        <f>Debt!H57</f>
        <v>5623.8940470930193</v>
      </c>
      <c r="J38" s="65">
        <f>Debt!I57</f>
        <v>5453.6732496269924</v>
      </c>
      <c r="K38" s="65">
        <f>Debt!J57</f>
        <v>5268.2809655113761</v>
      </c>
      <c r="L38" s="65">
        <f>Debt!K57</f>
        <v>5068.612577785786</v>
      </c>
      <c r="M38" s="65">
        <f>Debt!L57</f>
        <v>4852.5104728617507</v>
      </c>
      <c r="N38" s="65">
        <f>Debt!M57</f>
        <v>4619.3560872446269</v>
      </c>
      <c r="O38" s="65">
        <f>Debt!N57</f>
        <v>4365.8599720334896</v>
      </c>
      <c r="P38" s="65">
        <f>Debt!O57</f>
        <v>4092.5663005009819</v>
      </c>
      <c r="Q38" s="65">
        <f>Debt!P57</f>
        <v>3796.8188310725873</v>
      </c>
      <c r="R38" s="65">
        <f>Debt!Q57</f>
        <v>3477.5354880620876</v>
      </c>
      <c r="S38" s="65">
        <f>Debt!R57</f>
        <v>3130.8345812749681</v>
      </c>
      <c r="T38" s="65">
        <f>Debt!S57</f>
        <v>2756.7796291865789</v>
      </c>
      <c r="U38" s="65">
        <f>Debt!T57</f>
        <v>2352.0319834214024</v>
      </c>
      <c r="V38" s="65">
        <f>Debt!U57</f>
        <v>1914.8752198797301</v>
      </c>
      <c r="W38" s="65">
        <f>Debt!V57</f>
        <v>1581.2173410486494</v>
      </c>
      <c r="X38" s="65">
        <f>Debt!W57</f>
        <v>1504.852939018702</v>
      </c>
      <c r="Y38" s="65">
        <f>Debt!X57</f>
        <v>1596.0027480248216</v>
      </c>
      <c r="Z38" s="65">
        <f>Debt!Y57</f>
        <v>1726.2131686087832</v>
      </c>
      <c r="AA38" s="65">
        <f>Debt!Z57</f>
        <v>1867.1208897613747</v>
      </c>
      <c r="AB38" s="65">
        <f>Debt!AA57</f>
        <v>2019.4525691039732</v>
      </c>
      <c r="AC38" s="65">
        <f>Debt!AB57</f>
        <v>2184.2398744897209</v>
      </c>
      <c r="AD38" s="65">
        <f>Debt!AC57</f>
        <v>2362.441818731701</v>
      </c>
      <c r="AE38" s="65">
        <f>Debt!AD57</f>
        <v>2555.2837568460718</v>
      </c>
      <c r="AF38" s="65">
        <f>Debt!AE57</f>
        <v>2763.7601699223433</v>
      </c>
      <c r="AG38" s="65">
        <f>Debt!AF57</f>
        <v>2972.5372716198012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201</v>
      </c>
      <c r="C40" s="122">
        <f>C36-C38</f>
        <v>975.0480952005928</v>
      </c>
      <c r="D40" s="122">
        <f t="shared" ref="D40:X40" si="7">D36-D38</f>
        <v>1558.1105002162749</v>
      </c>
      <c r="E40" s="122">
        <f t="shared" si="7"/>
        <v>1673.3137736674234</v>
      </c>
      <c r="F40" s="122">
        <f t="shared" si="7"/>
        <v>1797.5496127938004</v>
      </c>
      <c r="G40" s="122">
        <f t="shared" si="7"/>
        <v>1933.1790925357145</v>
      </c>
      <c r="H40" s="122">
        <f t="shared" si="7"/>
        <v>2420.6158509729212</v>
      </c>
      <c r="I40" s="122">
        <f t="shared" si="7"/>
        <v>2749.3046890933965</v>
      </c>
      <c r="J40" s="122">
        <f t="shared" si="7"/>
        <v>2919.5254865594234</v>
      </c>
      <c r="K40" s="122">
        <f t="shared" si="7"/>
        <v>3104.9177706750397</v>
      </c>
      <c r="L40" s="122">
        <f t="shared" si="7"/>
        <v>3304.5861584006298</v>
      </c>
      <c r="M40" s="122">
        <f t="shared" si="7"/>
        <v>3520.6882633246651</v>
      </c>
      <c r="N40" s="122">
        <f t="shared" si="7"/>
        <v>3753.8426489417889</v>
      </c>
      <c r="O40" s="122">
        <f t="shared" si="7"/>
        <v>4007.3387641529262</v>
      </c>
      <c r="P40" s="122">
        <f t="shared" si="7"/>
        <v>4280.6324356854338</v>
      </c>
      <c r="Q40" s="122">
        <f t="shared" si="7"/>
        <v>4576.3799051138285</v>
      </c>
      <c r="R40" s="122">
        <f t="shared" si="7"/>
        <v>4895.6632481243287</v>
      </c>
      <c r="S40" s="122">
        <f t="shared" si="7"/>
        <v>5242.3641549114473</v>
      </c>
      <c r="T40" s="122">
        <f t="shared" si="7"/>
        <v>5616.4191069998369</v>
      </c>
      <c r="U40" s="122">
        <f t="shared" si="7"/>
        <v>6021.1667527650134</v>
      </c>
      <c r="V40" s="122">
        <f t="shared" si="7"/>
        <v>6458.3235163066856</v>
      </c>
      <c r="W40" s="122">
        <f t="shared" si="7"/>
        <v>765.13242744727722</v>
      </c>
      <c r="X40" s="122">
        <f t="shared" si="7"/>
        <v>-3163.6542028322856</v>
      </c>
      <c r="Y40" s="122">
        <f t="shared" ref="Y40:AG40" si="8">Y36-Y38</f>
        <v>-3254.8040118384051</v>
      </c>
      <c r="Z40" s="122">
        <f t="shared" si="8"/>
        <v>-3385.0144324223666</v>
      </c>
      <c r="AA40" s="122">
        <f t="shared" si="8"/>
        <v>-3525.9221535749584</v>
      </c>
      <c r="AB40" s="122">
        <f t="shared" si="8"/>
        <v>-3678.2538329175568</v>
      </c>
      <c r="AC40" s="122">
        <f t="shared" si="8"/>
        <v>-3843.0411383033043</v>
      </c>
      <c r="AD40" s="122">
        <f t="shared" si="8"/>
        <v>-4021.2430825452848</v>
      </c>
      <c r="AE40" s="122">
        <f t="shared" si="8"/>
        <v>-4214.0850206596551</v>
      </c>
      <c r="AF40" s="122">
        <f t="shared" si="8"/>
        <v>-4422.5614337359266</v>
      </c>
      <c r="AG40" s="122">
        <f t="shared" si="8"/>
        <v>-3525.4710262243293</v>
      </c>
    </row>
    <row r="41" spans="1:33">
      <c r="A41" s="1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</row>
    <row r="42" spans="1:33">
      <c r="A42" s="3" t="s">
        <v>51</v>
      </c>
      <c r="B42" s="339">
        <f>Assumptions!N51</f>
        <v>7.0000000000000007E-2</v>
      </c>
      <c r="C42" s="74">
        <f>-C40*$B$42</f>
        <v>-68.253366664041508</v>
      </c>
      <c r="D42" s="74">
        <f t="shared" ref="D42:AG42" si="9">-D40*$B$42</f>
        <v>-109.06773501513925</v>
      </c>
      <c r="E42" s="74">
        <f t="shared" si="9"/>
        <v>-117.13196415671965</v>
      </c>
      <c r="F42" s="74">
        <f t="shared" si="9"/>
        <v>-125.82847289556604</v>
      </c>
      <c r="G42" s="74">
        <f t="shared" si="9"/>
        <v>-135.32253647750002</v>
      </c>
      <c r="H42" s="74">
        <f t="shared" si="9"/>
        <v>-169.44310956810449</v>
      </c>
      <c r="I42" s="74">
        <f t="shared" si="9"/>
        <v>-192.45132823653776</v>
      </c>
      <c r="J42" s="74">
        <f t="shared" si="9"/>
        <v>-204.36678405915964</v>
      </c>
      <c r="K42" s="74">
        <f t="shared" si="9"/>
        <v>-217.34424394725281</v>
      </c>
      <c r="L42" s="74">
        <f t="shared" si="9"/>
        <v>-231.32103108804409</v>
      </c>
      <c r="M42" s="74">
        <f t="shared" si="9"/>
        <v>-246.44817843272656</v>
      </c>
      <c r="N42" s="74">
        <f t="shared" si="9"/>
        <v>-262.76898542592522</v>
      </c>
      <c r="O42" s="74">
        <f t="shared" si="9"/>
        <v>-280.51371349070484</v>
      </c>
      <c r="P42" s="74">
        <f t="shared" si="9"/>
        <v>-299.64427049798041</v>
      </c>
      <c r="Q42" s="74">
        <f t="shared" si="9"/>
        <v>-320.346593357968</v>
      </c>
      <c r="R42" s="74">
        <f t="shared" si="9"/>
        <v>-342.69642736870304</v>
      </c>
      <c r="S42" s="74">
        <f t="shared" si="9"/>
        <v>-366.96549084380132</v>
      </c>
      <c r="T42" s="74">
        <f t="shared" si="9"/>
        <v>-393.14933748998862</v>
      </c>
      <c r="U42" s="74">
        <f t="shared" si="9"/>
        <v>-421.48167269355099</v>
      </c>
      <c r="V42" s="74">
        <f t="shared" si="9"/>
        <v>-452.08264614146805</v>
      </c>
      <c r="W42" s="74">
        <f t="shared" si="9"/>
        <v>-53.559269921309408</v>
      </c>
      <c r="X42" s="74">
        <f t="shared" si="9"/>
        <v>221.45579419826001</v>
      </c>
      <c r="Y42" s="74">
        <f t="shared" si="9"/>
        <v>227.83628082868839</v>
      </c>
      <c r="Z42" s="74">
        <f t="shared" si="9"/>
        <v>236.95101026956567</v>
      </c>
      <c r="AA42" s="74">
        <f t="shared" si="9"/>
        <v>246.81455075024712</v>
      </c>
      <c r="AB42" s="74">
        <f t="shared" si="9"/>
        <v>257.47776830422902</v>
      </c>
      <c r="AC42" s="74">
        <f t="shared" si="9"/>
        <v>269.01287968123131</v>
      </c>
      <c r="AD42" s="74">
        <f t="shared" si="9"/>
        <v>281.48701577816996</v>
      </c>
      <c r="AE42" s="74">
        <f t="shared" si="9"/>
        <v>294.98595144617587</v>
      </c>
      <c r="AF42" s="74">
        <f t="shared" si="9"/>
        <v>309.57930036151487</v>
      </c>
      <c r="AG42" s="74">
        <f t="shared" si="9"/>
        <v>246.78297183570308</v>
      </c>
    </row>
    <row r="43" spans="1:33">
      <c r="A43" s="3" t="s">
        <v>52</v>
      </c>
      <c r="B43" s="339">
        <f>Assumptions!N50</f>
        <v>0.35</v>
      </c>
      <c r="C43" s="74">
        <f t="shared" ref="C43:AG43" si="10">(C40+C42)*-$B$43</f>
        <v>-317.37815498779293</v>
      </c>
      <c r="D43" s="74">
        <f t="shared" si="10"/>
        <v>-507.16496782039741</v>
      </c>
      <c r="E43" s="74">
        <f t="shared" si="10"/>
        <v>-544.6636333287463</v>
      </c>
      <c r="F43" s="74">
        <f t="shared" si="10"/>
        <v>-585.10239896438202</v>
      </c>
      <c r="G43" s="74">
        <f t="shared" si="10"/>
        <v>-629.24979462037504</v>
      </c>
      <c r="H43" s="74">
        <f t="shared" si="10"/>
        <v>-787.91045949168586</v>
      </c>
      <c r="I43" s="74">
        <f t="shared" si="10"/>
        <v>-894.89867629990044</v>
      </c>
      <c r="J43" s="74">
        <f t="shared" si="10"/>
        <v>-950.30554587509221</v>
      </c>
      <c r="K43" s="74">
        <f t="shared" si="10"/>
        <v>-1010.6507343547254</v>
      </c>
      <c r="L43" s="74">
        <f t="shared" si="10"/>
        <v>-1075.642794559405</v>
      </c>
      <c r="M43" s="74">
        <f t="shared" si="10"/>
        <v>-1145.9840297121784</v>
      </c>
      <c r="N43" s="74">
        <f t="shared" si="10"/>
        <v>-1221.8757822305522</v>
      </c>
      <c r="O43" s="74">
        <f t="shared" si="10"/>
        <v>-1304.3887677317773</v>
      </c>
      <c r="P43" s="74">
        <f t="shared" si="10"/>
        <v>-1393.3458578156087</v>
      </c>
      <c r="Q43" s="74">
        <f t="shared" si="10"/>
        <v>-1489.611659114551</v>
      </c>
      <c r="R43" s="74">
        <f t="shared" si="10"/>
        <v>-1593.5383872644691</v>
      </c>
      <c r="S43" s="74">
        <f t="shared" si="10"/>
        <v>-1706.389532423676</v>
      </c>
      <c r="T43" s="74">
        <f t="shared" si="10"/>
        <v>-1828.1444193284469</v>
      </c>
      <c r="U43" s="74">
        <f t="shared" si="10"/>
        <v>-1959.8897780250115</v>
      </c>
      <c r="V43" s="74">
        <f t="shared" si="10"/>
        <v>-2102.1843045578262</v>
      </c>
      <c r="W43" s="74">
        <f t="shared" si="10"/>
        <v>-249.05060513408873</v>
      </c>
      <c r="X43" s="74">
        <f t="shared" si="10"/>
        <v>1029.769443021909</v>
      </c>
      <c r="Y43" s="74">
        <f t="shared" si="10"/>
        <v>1059.4387058534007</v>
      </c>
      <c r="Z43" s="74">
        <f t="shared" si="10"/>
        <v>1101.8221977534802</v>
      </c>
      <c r="AA43" s="74">
        <f t="shared" si="10"/>
        <v>1147.6876609886488</v>
      </c>
      <c r="AB43" s="74">
        <f t="shared" si="10"/>
        <v>1197.2716226146647</v>
      </c>
      <c r="AC43" s="74">
        <f t="shared" si="10"/>
        <v>1250.9098905177254</v>
      </c>
      <c r="AD43" s="74">
        <f t="shared" si="10"/>
        <v>1308.9146233684901</v>
      </c>
      <c r="AE43" s="74">
        <f t="shared" si="10"/>
        <v>1371.6846742247176</v>
      </c>
      <c r="AF43" s="74">
        <f t="shared" si="10"/>
        <v>1439.5437466810442</v>
      </c>
      <c r="AG43" s="74">
        <f t="shared" si="10"/>
        <v>1147.5408190360192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53</v>
      </c>
      <c r="B45" s="46"/>
      <c r="C45" s="363">
        <f t="shared" ref="C45:AG45" si="11">C40+C42+C43</f>
        <v>589.41657354875838</v>
      </c>
      <c r="D45" s="363">
        <f t="shared" si="11"/>
        <v>941.87779738073823</v>
      </c>
      <c r="E45" s="363">
        <f t="shared" si="11"/>
        <v>1011.5181761819574</v>
      </c>
      <c r="F45" s="363">
        <f t="shared" si="11"/>
        <v>1086.6187409338525</v>
      </c>
      <c r="G45" s="363">
        <f t="shared" si="11"/>
        <v>1168.6067614378394</v>
      </c>
      <c r="H45" s="363">
        <f t="shared" si="11"/>
        <v>1463.2622819131311</v>
      </c>
      <c r="I45" s="363">
        <f t="shared" si="11"/>
        <v>1661.9546845569582</v>
      </c>
      <c r="J45" s="363">
        <f t="shared" si="11"/>
        <v>1764.8531566251713</v>
      </c>
      <c r="K45" s="363">
        <f t="shared" si="11"/>
        <v>1876.9227923730614</v>
      </c>
      <c r="L45" s="363">
        <f t="shared" si="11"/>
        <v>1997.6223327531807</v>
      </c>
      <c r="M45" s="363">
        <f t="shared" si="11"/>
        <v>2128.2560551797596</v>
      </c>
      <c r="N45" s="363">
        <f t="shared" si="11"/>
        <v>2269.1978812853113</v>
      </c>
      <c r="O45" s="363">
        <f t="shared" si="11"/>
        <v>2422.4362829304437</v>
      </c>
      <c r="P45" s="363">
        <f t="shared" si="11"/>
        <v>2587.6423073718447</v>
      </c>
      <c r="Q45" s="363">
        <f t="shared" si="11"/>
        <v>2766.4216526413093</v>
      </c>
      <c r="R45" s="363">
        <f t="shared" si="11"/>
        <v>2959.4284334911572</v>
      </c>
      <c r="S45" s="363">
        <f t="shared" si="11"/>
        <v>3169.0091316439698</v>
      </c>
      <c r="T45" s="363">
        <f t="shared" si="11"/>
        <v>3395.1253501814017</v>
      </c>
      <c r="U45" s="363">
        <f t="shared" si="11"/>
        <v>3639.7953020464502</v>
      </c>
      <c r="V45" s="363">
        <f t="shared" si="11"/>
        <v>3904.0565656073913</v>
      </c>
      <c r="W45" s="363">
        <f t="shared" si="11"/>
        <v>462.52255239187912</v>
      </c>
      <c r="X45" s="363">
        <f t="shared" si="11"/>
        <v>-1912.4289656121168</v>
      </c>
      <c r="Y45" s="363">
        <f t="shared" si="11"/>
        <v>-1967.529025156316</v>
      </c>
      <c r="Z45" s="363">
        <f t="shared" si="11"/>
        <v>-2046.2412243993206</v>
      </c>
      <c r="AA45" s="363">
        <f t="shared" si="11"/>
        <v>-2131.4199418360622</v>
      </c>
      <c r="AB45" s="363">
        <f t="shared" si="11"/>
        <v>-2223.5044419986634</v>
      </c>
      <c r="AC45" s="363">
        <f t="shared" si="11"/>
        <v>-2323.1183681043476</v>
      </c>
      <c r="AD45" s="363">
        <f t="shared" si="11"/>
        <v>-2430.841443398625</v>
      </c>
      <c r="AE45" s="363">
        <f t="shared" si="11"/>
        <v>-2547.4143949887616</v>
      </c>
      <c r="AF45" s="363">
        <f t="shared" si="11"/>
        <v>-2673.4383866933676</v>
      </c>
      <c r="AG45" s="363">
        <f t="shared" si="11"/>
        <v>-2131.1472353526069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4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364"/>
      <c r="O49" s="364"/>
      <c r="P49" s="364"/>
      <c r="Q49" s="364"/>
      <c r="R49" s="364"/>
      <c r="S49" s="364"/>
      <c r="T49" s="364"/>
      <c r="U49" s="364"/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4"/>
      <c r="AG49" s="364"/>
    </row>
    <row r="50" spans="1:33">
      <c r="A50" s="11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4"/>
      <c r="Y50" s="364"/>
      <c r="Z50" s="364"/>
      <c r="AA50" s="364"/>
      <c r="AB50" s="364"/>
      <c r="AC50" s="364"/>
      <c r="AD50" s="364"/>
      <c r="AE50" s="364"/>
      <c r="AF50" s="364"/>
      <c r="AG50" s="364"/>
    </row>
    <row r="51" spans="1:33">
      <c r="C51" s="364"/>
      <c r="D51" s="364"/>
      <c r="E51" s="364"/>
      <c r="F51" s="364"/>
      <c r="G51" s="364"/>
    </row>
    <row r="52" spans="1:33">
      <c r="C52" s="6"/>
      <c r="D52" s="6"/>
      <c r="E52" s="6"/>
      <c r="F52" s="6"/>
      <c r="G52" s="6"/>
    </row>
    <row r="53" spans="1:33">
      <c r="C53" s="364"/>
      <c r="D53" s="364"/>
      <c r="E53" s="364"/>
      <c r="F53" s="364"/>
      <c r="G53" s="364"/>
    </row>
    <row r="54" spans="1:33">
      <c r="C54" s="364"/>
      <c r="D54" s="364"/>
      <c r="E54" s="364"/>
      <c r="F54" s="364"/>
      <c r="G54" s="364"/>
    </row>
    <row r="55" spans="1:33">
      <c r="C55" s="364"/>
      <c r="D55" s="364"/>
      <c r="E55" s="364"/>
      <c r="F55" s="364"/>
      <c r="G55" s="364"/>
    </row>
    <row r="56" spans="1:33">
      <c r="C56" s="364"/>
      <c r="D56" s="364"/>
      <c r="E56" s="364"/>
      <c r="F56" s="364"/>
      <c r="G56" s="364"/>
    </row>
    <row r="57" spans="1:33">
      <c r="C57" s="364"/>
      <c r="D57" s="364"/>
      <c r="E57" s="364"/>
      <c r="F57" s="364"/>
      <c r="G57" s="364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65"/>
      <c r="D60" s="365"/>
      <c r="E60" s="365"/>
      <c r="F60" s="365"/>
      <c r="G60" s="6"/>
    </row>
    <row r="61" spans="1:33">
      <c r="C61" s="6"/>
      <c r="D61" s="6"/>
      <c r="E61" s="6"/>
      <c r="F61" s="6"/>
      <c r="G61" s="6"/>
    </row>
    <row r="62" spans="1:33">
      <c r="C62" s="365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CIPCO</v>
      </c>
    </row>
    <row r="4" spans="1:60" ht="18.75">
      <c r="A4" s="60" t="s">
        <v>130</v>
      </c>
      <c r="B4" s="8"/>
      <c r="C4" s="8"/>
    </row>
    <row r="6" spans="1:60">
      <c r="C6" s="309">
        <v>0</v>
      </c>
      <c r="D6" s="206">
        <f>'Price_Technical Assumption'!D7</f>
        <v>0.66666666666666663</v>
      </c>
      <c r="E6" s="206">
        <f>'Price_Technical Assumption'!E7</f>
        <v>1.6666666666666665</v>
      </c>
      <c r="F6" s="206">
        <f>'Price_Technical Assumption'!F7</f>
        <v>2.6666666666666665</v>
      </c>
      <c r="G6" s="206">
        <f>'Price_Technical Assumption'!G7</f>
        <v>3.6666666666666665</v>
      </c>
      <c r="H6" s="206">
        <f>'Price_Technical Assumption'!H7</f>
        <v>4.6666666666666661</v>
      </c>
      <c r="I6" s="206">
        <f>'Price_Technical Assumption'!I7</f>
        <v>5.6666666666666661</v>
      </c>
      <c r="J6" s="206">
        <f>'Price_Technical Assumption'!J7</f>
        <v>6.6666666666666661</v>
      </c>
      <c r="K6" s="206">
        <f>'Price_Technical Assumption'!K7</f>
        <v>7.6666666666666661</v>
      </c>
      <c r="L6" s="206">
        <f>'Price_Technical Assumption'!L7</f>
        <v>8.6666666666666661</v>
      </c>
      <c r="M6" s="206">
        <f>'Price_Technical Assumption'!M7</f>
        <v>9.6666666666666661</v>
      </c>
      <c r="N6" s="206">
        <f>'Price_Technical Assumption'!N7</f>
        <v>10.666666666666666</v>
      </c>
      <c r="O6" s="206">
        <f>'Price_Technical Assumption'!O7</f>
        <v>11.666666666666666</v>
      </c>
      <c r="P6" s="206">
        <f>'Price_Technical Assumption'!P7</f>
        <v>12.666666666666666</v>
      </c>
      <c r="Q6" s="206">
        <f>'Price_Technical Assumption'!Q7</f>
        <v>13.666666666666666</v>
      </c>
      <c r="R6" s="206">
        <f>'Price_Technical Assumption'!R7</f>
        <v>14.666666666666666</v>
      </c>
      <c r="S6" s="206">
        <f>'Price_Technical Assumption'!S7</f>
        <v>15.666666666666666</v>
      </c>
      <c r="T6" s="206">
        <f>'Price_Technical Assumption'!T7</f>
        <v>16.666666666666664</v>
      </c>
      <c r="U6" s="206">
        <f>'Price_Technical Assumption'!U7</f>
        <v>17.666666666666664</v>
      </c>
      <c r="V6" s="206">
        <f>'Price_Technical Assumption'!V7</f>
        <v>18.666666666666664</v>
      </c>
      <c r="W6" s="206">
        <f>'Price_Technical Assumption'!W7</f>
        <v>19.666666666666664</v>
      </c>
      <c r="X6" s="206">
        <f>'Price_Technical Assumption'!X7</f>
        <v>20.666666666666664</v>
      </c>
      <c r="Y6" s="206">
        <f>'Price_Technical Assumption'!Y7</f>
        <v>21.666666666666664</v>
      </c>
      <c r="Z6" s="206">
        <f>'Price_Technical Assumption'!Z7</f>
        <v>22.666666666666664</v>
      </c>
      <c r="AA6" s="206">
        <f>'Price_Technical Assumption'!AA7</f>
        <v>23.666666666666664</v>
      </c>
      <c r="AB6" s="206">
        <f>'Price_Technical Assumption'!AB7</f>
        <v>24.666666666666664</v>
      </c>
      <c r="AC6" s="206">
        <f>'Price_Technical Assumption'!AC7</f>
        <v>25.666666666666664</v>
      </c>
      <c r="AD6" s="206">
        <f>'Price_Technical Assumption'!AD7</f>
        <v>26.666666666666664</v>
      </c>
      <c r="AE6" s="206">
        <f>'Price_Technical Assumption'!AE7</f>
        <v>27.666666666666664</v>
      </c>
      <c r="AF6" s="206">
        <f>'Price_Technical Assumption'!AF7</f>
        <v>28.666666666666664</v>
      </c>
      <c r="AG6" s="206">
        <f>'Price_Technical Assumption'!AG7</f>
        <v>29.666666666666664</v>
      </c>
      <c r="AH6" s="206">
        <f>'Price_Technical Assumption'!AH7</f>
        <v>30.666666666666664</v>
      </c>
    </row>
    <row r="7" spans="1:60" s="6" customFormat="1" ht="13.5" thickBot="1">
      <c r="A7" s="121" t="s">
        <v>39</v>
      </c>
      <c r="B7" s="7"/>
      <c r="C7" s="310" t="s">
        <v>243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1"/>
      <c r="D8" s="207">
        <f>Assumptions!H18+365.25*Assumptions!H19/12</f>
        <v>37255.5</v>
      </c>
      <c r="E8" s="207">
        <f t="shared" ref="E8:AH8" si="0">D8+365.25</f>
        <v>37620.75</v>
      </c>
      <c r="F8" s="207">
        <f t="shared" si="0"/>
        <v>37986</v>
      </c>
      <c r="G8" s="207">
        <f t="shared" si="0"/>
        <v>38351.25</v>
      </c>
      <c r="H8" s="207">
        <f t="shared" si="0"/>
        <v>38716.5</v>
      </c>
      <c r="I8" s="207">
        <f t="shared" si="0"/>
        <v>39081.75</v>
      </c>
      <c r="J8" s="207">
        <f t="shared" si="0"/>
        <v>39447</v>
      </c>
      <c r="K8" s="207">
        <f t="shared" si="0"/>
        <v>39812.25</v>
      </c>
      <c r="L8" s="207">
        <f t="shared" si="0"/>
        <v>40177.5</v>
      </c>
      <c r="M8" s="207">
        <f t="shared" si="0"/>
        <v>40542.75</v>
      </c>
      <c r="N8" s="207">
        <f t="shared" si="0"/>
        <v>40908</v>
      </c>
      <c r="O8" s="207">
        <f t="shared" si="0"/>
        <v>41273.25</v>
      </c>
      <c r="P8" s="207">
        <f t="shared" si="0"/>
        <v>41638.5</v>
      </c>
      <c r="Q8" s="207">
        <f t="shared" si="0"/>
        <v>42003.75</v>
      </c>
      <c r="R8" s="207">
        <f t="shared" si="0"/>
        <v>42369</v>
      </c>
      <c r="S8" s="207">
        <f t="shared" si="0"/>
        <v>42734.25</v>
      </c>
      <c r="T8" s="207">
        <f t="shared" si="0"/>
        <v>43099.5</v>
      </c>
      <c r="U8" s="207">
        <f t="shared" si="0"/>
        <v>43464.75</v>
      </c>
      <c r="V8" s="207">
        <f t="shared" si="0"/>
        <v>43830</v>
      </c>
      <c r="W8" s="207">
        <f t="shared" si="0"/>
        <v>44195.25</v>
      </c>
      <c r="X8" s="207">
        <f t="shared" si="0"/>
        <v>44560.5</v>
      </c>
      <c r="Y8" s="207">
        <f t="shared" si="0"/>
        <v>44925.75</v>
      </c>
      <c r="Z8" s="207">
        <f t="shared" si="0"/>
        <v>45291</v>
      </c>
      <c r="AA8" s="207">
        <f t="shared" si="0"/>
        <v>45656.25</v>
      </c>
      <c r="AB8" s="207">
        <f t="shared" si="0"/>
        <v>46021.5</v>
      </c>
      <c r="AC8" s="207">
        <f t="shared" si="0"/>
        <v>46386.75</v>
      </c>
      <c r="AD8" s="207">
        <f t="shared" si="0"/>
        <v>46752</v>
      </c>
      <c r="AE8" s="207">
        <f t="shared" si="0"/>
        <v>47117.25</v>
      </c>
      <c r="AF8" s="207">
        <f t="shared" si="0"/>
        <v>47482.5</v>
      </c>
      <c r="AG8" s="207">
        <f t="shared" si="0"/>
        <v>47847.75</v>
      </c>
      <c r="AH8" s="207">
        <f t="shared" si="0"/>
        <v>48213</v>
      </c>
    </row>
    <row r="9" spans="1:60">
      <c r="A9" s="1" t="s">
        <v>131</v>
      </c>
      <c r="B9" s="12"/>
      <c r="C9" s="312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2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132</v>
      </c>
      <c r="B11" s="12"/>
      <c r="C11" s="313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</row>
    <row r="12" spans="1:60">
      <c r="A12" s="23" t="s">
        <v>133</v>
      </c>
      <c r="B12" s="12"/>
      <c r="C12" s="313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</row>
    <row r="13" spans="1:60">
      <c r="A13" s="23" t="s">
        <v>134</v>
      </c>
      <c r="B13" s="12"/>
      <c r="C13" s="313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</row>
    <row r="14" spans="1:60">
      <c r="A14" s="23" t="s">
        <v>135</v>
      </c>
      <c r="B14" s="12"/>
      <c r="C14" s="313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</row>
    <row r="15" spans="1:60">
      <c r="A15" s="301" t="s">
        <v>136</v>
      </c>
      <c r="B15" s="58"/>
      <c r="C15" s="314">
        <v>0</v>
      </c>
      <c r="D15" s="301">
        <v>0</v>
      </c>
      <c r="E15" s="301">
        <v>0</v>
      </c>
      <c r="F15" s="301">
        <v>0</v>
      </c>
      <c r="G15" s="301">
        <v>0</v>
      </c>
      <c r="H15" s="301">
        <v>0</v>
      </c>
      <c r="I15" s="301">
        <v>0</v>
      </c>
      <c r="J15" s="301">
        <v>0</v>
      </c>
      <c r="K15" s="301">
        <v>0</v>
      </c>
      <c r="L15" s="301">
        <v>0</v>
      </c>
      <c r="M15" s="301">
        <v>0</v>
      </c>
      <c r="N15" s="301">
        <v>0</v>
      </c>
      <c r="O15" s="301">
        <v>0</v>
      </c>
      <c r="P15" s="301">
        <v>0</v>
      </c>
      <c r="Q15" s="301">
        <v>0</v>
      </c>
      <c r="R15" s="301">
        <v>0</v>
      </c>
      <c r="S15" s="301">
        <v>0</v>
      </c>
      <c r="T15" s="301">
        <v>0</v>
      </c>
      <c r="U15" s="301">
        <v>0</v>
      </c>
      <c r="V15" s="301">
        <v>0</v>
      </c>
      <c r="W15" s="301">
        <v>0</v>
      </c>
      <c r="X15" s="301">
        <v>0</v>
      </c>
      <c r="Y15" s="301">
        <v>0</v>
      </c>
      <c r="Z15" s="301">
        <v>0</v>
      </c>
      <c r="AA15" s="301">
        <v>0</v>
      </c>
      <c r="AB15" s="301">
        <v>0</v>
      </c>
      <c r="AC15" s="301">
        <v>0</v>
      </c>
      <c r="AD15" s="301">
        <v>0</v>
      </c>
      <c r="AE15" s="301">
        <v>0</v>
      </c>
      <c r="AF15" s="301">
        <v>0</v>
      </c>
      <c r="AG15" s="301">
        <v>0</v>
      </c>
      <c r="AH15" s="301">
        <v>0</v>
      </c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</row>
    <row r="16" spans="1:60">
      <c r="A16" s="23" t="s">
        <v>137</v>
      </c>
      <c r="B16" s="12"/>
      <c r="C16" s="313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</row>
    <row r="17" spans="1:60">
      <c r="A17" s="13"/>
      <c r="B17" s="12"/>
      <c r="C17" s="313"/>
      <c r="D17" s="18"/>
      <c r="E17" s="18"/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149"/>
      <c r="AA17" s="149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</row>
    <row r="18" spans="1:60">
      <c r="A18" s="23" t="s">
        <v>138</v>
      </c>
      <c r="B18" s="12"/>
      <c r="C18" s="313">
        <f>Assumptions!C61</f>
        <v>58105.117810452786</v>
      </c>
      <c r="D18" s="18">
        <f>Depreciation!$B$48</f>
        <v>57855.117810452786</v>
      </c>
      <c r="E18" s="18">
        <f>Depreciation!$B$48</f>
        <v>57855.117810452786</v>
      </c>
      <c r="F18" s="18">
        <f>Depreciation!$B$48</f>
        <v>57855.117810452786</v>
      </c>
      <c r="G18" s="18">
        <f>Depreciation!$B$48</f>
        <v>57855.117810452786</v>
      </c>
      <c r="H18" s="18">
        <f>Depreciation!$B$48</f>
        <v>57855.117810452786</v>
      </c>
      <c r="I18" s="18">
        <f>Depreciation!$B$48</f>
        <v>57855.117810452786</v>
      </c>
      <c r="J18" s="18">
        <f>Depreciation!$B$48</f>
        <v>57855.117810452786</v>
      </c>
      <c r="K18" s="18">
        <f>Depreciation!$B$48</f>
        <v>57855.117810452786</v>
      </c>
      <c r="L18" s="18">
        <f>Depreciation!$B$48</f>
        <v>57855.117810452786</v>
      </c>
      <c r="M18" s="18">
        <f>Depreciation!$B$48</f>
        <v>57855.117810452786</v>
      </c>
      <c r="N18" s="18">
        <f>Depreciation!$B$48</f>
        <v>57855.117810452786</v>
      </c>
      <c r="O18" s="18">
        <f>Depreciation!$B$48</f>
        <v>57855.117810452786</v>
      </c>
      <c r="P18" s="18">
        <f>Depreciation!$B$48</f>
        <v>57855.117810452786</v>
      </c>
      <c r="Q18" s="18">
        <f>Depreciation!$B$48</f>
        <v>57855.117810452786</v>
      </c>
      <c r="R18" s="18">
        <f>Depreciation!$B$48</f>
        <v>57855.117810452786</v>
      </c>
      <c r="S18" s="18">
        <f>Depreciation!$B$48</f>
        <v>57855.117810452786</v>
      </c>
      <c r="T18" s="18">
        <f>Depreciation!$B$48</f>
        <v>57855.117810452786</v>
      </c>
      <c r="U18" s="18">
        <f>Depreciation!$B$48</f>
        <v>57855.117810452786</v>
      </c>
      <c r="V18" s="18">
        <f>Depreciation!$B$48</f>
        <v>57855.117810452786</v>
      </c>
      <c r="W18" s="18">
        <f>Depreciation!$B$48</f>
        <v>57855.117810452786</v>
      </c>
      <c r="X18" s="18">
        <f>Depreciation!$B$48</f>
        <v>57855.117810452786</v>
      </c>
      <c r="Y18" s="18">
        <f>Depreciation!$B$48</f>
        <v>57855.117810452786</v>
      </c>
      <c r="Z18" s="18">
        <f>Depreciation!$B$48</f>
        <v>57855.117810452786</v>
      </c>
      <c r="AA18" s="18">
        <f>Depreciation!$B$48</f>
        <v>57855.117810452786</v>
      </c>
      <c r="AB18" s="18">
        <f>Depreciation!$B$48</f>
        <v>57855.117810452786</v>
      </c>
      <c r="AC18" s="18">
        <f>Depreciation!$B$48</f>
        <v>57855.117810452786</v>
      </c>
      <c r="AD18" s="18">
        <f>Depreciation!$B$48</f>
        <v>57855.117810452786</v>
      </c>
      <c r="AE18" s="18">
        <f>Depreciation!$B$48</f>
        <v>57855.117810452786</v>
      </c>
      <c r="AF18" s="18">
        <f>Depreciation!$B$48</f>
        <v>57855.117810452786</v>
      </c>
      <c r="AG18" s="18">
        <f>Depreciation!$B$48</f>
        <v>57855.117810452786</v>
      </c>
      <c r="AH18" s="18">
        <f>Depreciation!$B$48</f>
        <v>57855.117810452786</v>
      </c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</row>
    <row r="19" spans="1:60">
      <c r="A19" s="23" t="s">
        <v>139</v>
      </c>
      <c r="B19" s="13"/>
      <c r="C19" s="315">
        <v>0</v>
      </c>
      <c r="D19" s="303">
        <f>SUM(Depreciation!$D$48:D48)</f>
        <v>1447.4331558757222</v>
      </c>
      <c r="E19" s="303">
        <f>SUM(Depreciation!$D$48:E48)</f>
        <v>3618.5828896893058</v>
      </c>
      <c r="F19" s="303">
        <f>SUM(Depreciation!$D$48:F48)</f>
        <v>5789.7326235028895</v>
      </c>
      <c r="G19" s="303">
        <f>SUM(Depreciation!$D$48:G48)</f>
        <v>7960.8823573164736</v>
      </c>
      <c r="H19" s="303">
        <f>SUM(Depreciation!$D$48:H48)</f>
        <v>10132.032091130057</v>
      </c>
      <c r="I19" s="303">
        <f>SUM(Depreciation!$D$48:I48)</f>
        <v>11961.616178276974</v>
      </c>
      <c r="J19" s="303">
        <f>SUM(Depreciation!$D$48:J48)</f>
        <v>13620.417442090558</v>
      </c>
      <c r="K19" s="303">
        <f>SUM(Depreciation!$D$48:K48)</f>
        <v>15279.218705904143</v>
      </c>
      <c r="L19" s="303">
        <f>SUM(Depreciation!$D$48:L48)</f>
        <v>16938.019969717727</v>
      </c>
      <c r="M19" s="303">
        <f>SUM(Depreciation!$D$48:M48)</f>
        <v>18596.821233531311</v>
      </c>
      <c r="N19" s="303">
        <f>SUM(Depreciation!$D$48:N48)</f>
        <v>20255.622497344895</v>
      </c>
      <c r="O19" s="303">
        <f>SUM(Depreciation!$D$48:O48)</f>
        <v>21914.423761158479</v>
      </c>
      <c r="P19" s="303">
        <f>SUM(Depreciation!$D$48:P48)</f>
        <v>23573.225024972064</v>
      </c>
      <c r="Q19" s="303">
        <f>SUM(Depreciation!$D$48:Q48)</f>
        <v>25232.026288785648</v>
      </c>
      <c r="R19" s="303">
        <f>SUM(Depreciation!$D$48:R48)</f>
        <v>26890.827552599232</v>
      </c>
      <c r="S19" s="303">
        <f>SUM(Depreciation!$D$48:S48)</f>
        <v>28549.628816412816</v>
      </c>
      <c r="T19" s="303">
        <f>SUM(Depreciation!$D$48:T48)</f>
        <v>30208.430080226401</v>
      </c>
      <c r="U19" s="303">
        <f>SUM(Depreciation!$D$48:U48)</f>
        <v>31867.231344039985</v>
      </c>
      <c r="V19" s="303">
        <f>SUM(Depreciation!$D$48:V48)</f>
        <v>33526.032607853565</v>
      </c>
      <c r="W19" s="303">
        <f>SUM(Depreciation!$D$48:W48)</f>
        <v>35184.83387166715</v>
      </c>
      <c r="X19" s="303">
        <f>SUM(Depreciation!$D$48:X48)</f>
        <v>36843.635135480734</v>
      </c>
      <c r="Y19" s="303">
        <f>SUM(Depreciation!$D$48:Y48)</f>
        <v>38502.436399294318</v>
      </c>
      <c r="Z19" s="303">
        <f>SUM(Depreciation!$D$48:Z48)</f>
        <v>40161.237663107902</v>
      </c>
      <c r="AA19" s="303">
        <f>SUM(Depreciation!$D$48:AA48)</f>
        <v>41820.038926921487</v>
      </c>
      <c r="AB19" s="303">
        <f>SUM(Depreciation!$D$48:AB48)</f>
        <v>43478.840190735071</v>
      </c>
      <c r="AC19" s="303">
        <f>SUM(Depreciation!$D$48:AC48)</f>
        <v>45137.641454548655</v>
      </c>
      <c r="AD19" s="303">
        <f>SUM(Depreciation!$D$48:AD48)</f>
        <v>46796.442718362239</v>
      </c>
      <c r="AE19" s="303">
        <f>SUM(Depreciation!$D$48:AE48)</f>
        <v>48455.243982175823</v>
      </c>
      <c r="AF19" s="303">
        <f>SUM(Depreciation!$D$48:AF48)</f>
        <v>50114.045245989408</v>
      </c>
      <c r="AG19" s="303">
        <f>SUM(Depreciation!$D$48:AG48)</f>
        <v>51772.846509802992</v>
      </c>
      <c r="AH19" s="303">
        <f>SUM(Depreciation!$D$48:AH48)</f>
        <v>52325.78026440752</v>
      </c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</row>
    <row r="20" spans="1:60">
      <c r="A20" s="23" t="s">
        <v>140</v>
      </c>
      <c r="B20" s="13"/>
      <c r="C20" s="316">
        <f>C18-C19</f>
        <v>58105.117810452786</v>
      </c>
      <c r="D20" s="23">
        <f>D18-D19</f>
        <v>56407.684654577068</v>
      </c>
      <c r="E20" s="23">
        <f t="shared" ref="E20:AH20" si="2">E18-E19</f>
        <v>54236.534920763479</v>
      </c>
      <c r="F20" s="23">
        <f t="shared" si="2"/>
        <v>52065.385186949898</v>
      </c>
      <c r="G20" s="23">
        <f t="shared" si="2"/>
        <v>49894.235453136309</v>
      </c>
      <c r="H20" s="23">
        <f t="shared" si="2"/>
        <v>47723.085719322728</v>
      </c>
      <c r="I20" s="23">
        <f t="shared" si="2"/>
        <v>45893.501632175816</v>
      </c>
      <c r="J20" s="23">
        <f t="shared" si="2"/>
        <v>44234.700368362232</v>
      </c>
      <c r="K20" s="23">
        <f t="shared" si="2"/>
        <v>42575.899104548647</v>
      </c>
      <c r="L20" s="23">
        <f t="shared" si="2"/>
        <v>40917.097840735063</v>
      </c>
      <c r="M20" s="23">
        <f t="shared" si="2"/>
        <v>39258.296576921479</v>
      </c>
      <c r="N20" s="23">
        <f t="shared" si="2"/>
        <v>37599.495313107895</v>
      </c>
      <c r="O20" s="23">
        <f t="shared" si="2"/>
        <v>35940.69404929431</v>
      </c>
      <c r="P20" s="23">
        <f t="shared" si="2"/>
        <v>34281.892785480726</v>
      </c>
      <c r="Q20" s="23">
        <f t="shared" si="2"/>
        <v>32623.091521667138</v>
      </c>
      <c r="R20" s="23">
        <f t="shared" si="2"/>
        <v>30964.290257853554</v>
      </c>
      <c r="S20" s="23">
        <f t="shared" si="2"/>
        <v>29305.48899403997</v>
      </c>
      <c r="T20" s="23">
        <f t="shared" si="2"/>
        <v>27646.687730226386</v>
      </c>
      <c r="U20" s="23">
        <f t="shared" si="2"/>
        <v>25987.886466412801</v>
      </c>
      <c r="V20" s="23">
        <f t="shared" si="2"/>
        <v>24329.085202599221</v>
      </c>
      <c r="W20" s="23">
        <f t="shared" si="2"/>
        <v>22670.283938785637</v>
      </c>
      <c r="X20" s="23">
        <f t="shared" si="2"/>
        <v>21011.482674972052</v>
      </c>
      <c r="Y20" s="23">
        <f t="shared" si="2"/>
        <v>19352.681411158468</v>
      </c>
      <c r="Z20" s="23">
        <f t="shared" si="2"/>
        <v>17693.880147344884</v>
      </c>
      <c r="AA20" s="23">
        <f t="shared" si="2"/>
        <v>16035.0788835313</v>
      </c>
      <c r="AB20" s="23">
        <f t="shared" si="2"/>
        <v>14376.277619717715</v>
      </c>
      <c r="AC20" s="23">
        <f t="shared" si="2"/>
        <v>12717.476355904131</v>
      </c>
      <c r="AD20" s="23">
        <f t="shared" si="2"/>
        <v>11058.675092090547</v>
      </c>
      <c r="AE20" s="23">
        <f t="shared" si="2"/>
        <v>9399.8738282769627</v>
      </c>
      <c r="AF20" s="23">
        <f t="shared" si="2"/>
        <v>7741.0725644633785</v>
      </c>
      <c r="AG20" s="23">
        <f t="shared" si="2"/>
        <v>6082.2713006497943</v>
      </c>
      <c r="AH20" s="23">
        <f t="shared" si="2"/>
        <v>5529.3375460452662</v>
      </c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</row>
    <row r="21" spans="1:60">
      <c r="A21" s="23"/>
      <c r="B21" s="13"/>
      <c r="C21" s="316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</row>
    <row r="22" spans="1:60">
      <c r="A22" s="23" t="s">
        <v>141</v>
      </c>
      <c r="B22" s="13"/>
      <c r="C22" s="313">
        <f>Assumptions!$C$50</f>
        <v>250</v>
      </c>
      <c r="D22" s="18">
        <f>Assumptions!$C$50</f>
        <v>250</v>
      </c>
      <c r="E22" s="18">
        <f>Assumptions!$C$50</f>
        <v>250</v>
      </c>
      <c r="F22" s="18">
        <f>Assumptions!$C$50</f>
        <v>250</v>
      </c>
      <c r="G22" s="18">
        <f>Assumptions!$C$50</f>
        <v>250</v>
      </c>
      <c r="H22" s="18">
        <f>Assumptions!$C$50</f>
        <v>250</v>
      </c>
      <c r="I22" s="18">
        <f>Assumptions!$C$50</f>
        <v>250</v>
      </c>
      <c r="J22" s="18">
        <f>Assumptions!$C$50</f>
        <v>250</v>
      </c>
      <c r="K22" s="18">
        <f>Assumptions!$C$50</f>
        <v>250</v>
      </c>
      <c r="L22" s="18">
        <f>Assumptions!$C$50</f>
        <v>250</v>
      </c>
      <c r="M22" s="18">
        <f>Assumptions!$C$50</f>
        <v>250</v>
      </c>
      <c r="N22" s="18">
        <f>Assumptions!$C$50</f>
        <v>250</v>
      </c>
      <c r="O22" s="18">
        <f>Assumptions!$C$50</f>
        <v>250</v>
      </c>
      <c r="P22" s="18">
        <f>Assumptions!$C$50</f>
        <v>250</v>
      </c>
      <c r="Q22" s="18">
        <f>Assumptions!$C$50</f>
        <v>250</v>
      </c>
      <c r="R22" s="18">
        <f>Assumptions!$C$50</f>
        <v>250</v>
      </c>
      <c r="S22" s="18">
        <f>Assumptions!$C$50</f>
        <v>250</v>
      </c>
      <c r="T22" s="18">
        <f>Assumptions!$C$50</f>
        <v>250</v>
      </c>
      <c r="U22" s="18">
        <f>Assumptions!$C$50</f>
        <v>250</v>
      </c>
      <c r="V22" s="18">
        <f>Assumptions!$C$50</f>
        <v>250</v>
      </c>
      <c r="W22" s="18">
        <f>Assumptions!$C$50</f>
        <v>250</v>
      </c>
      <c r="X22" s="18">
        <f>Assumptions!$C$50</f>
        <v>250</v>
      </c>
      <c r="Y22" s="18">
        <f>Assumptions!$C$50</f>
        <v>250</v>
      </c>
      <c r="Z22" s="18">
        <f>Assumptions!$C$50</f>
        <v>250</v>
      </c>
      <c r="AA22" s="18">
        <f>Assumptions!$C$50</f>
        <v>250</v>
      </c>
      <c r="AB22" s="18">
        <f>Assumptions!$C$50</f>
        <v>250</v>
      </c>
      <c r="AC22" s="18">
        <f>Assumptions!$C$50</f>
        <v>250</v>
      </c>
      <c r="AD22" s="18">
        <f>Assumptions!$C$50</f>
        <v>250</v>
      </c>
      <c r="AE22" s="18">
        <f>Assumptions!$C$50</f>
        <v>250</v>
      </c>
      <c r="AF22" s="18">
        <f>Assumptions!$C$50</f>
        <v>250</v>
      </c>
      <c r="AG22" s="18">
        <f>Assumptions!$C$50</f>
        <v>250</v>
      </c>
      <c r="AH22" s="18">
        <f>Assumptions!$C$50</f>
        <v>250</v>
      </c>
      <c r="AI22" s="302"/>
      <c r="AJ22" s="302"/>
      <c r="AK22" s="302"/>
      <c r="AL22" s="302"/>
      <c r="AM22" s="302"/>
      <c r="AN22" s="302"/>
      <c r="AO22" s="302"/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2"/>
      <c r="BA22" s="302"/>
      <c r="BB22" s="302"/>
      <c r="BC22" s="302"/>
      <c r="BD22" s="302"/>
      <c r="BE22" s="302"/>
      <c r="BF22" s="302"/>
      <c r="BG22" s="302"/>
      <c r="BH22" s="302"/>
    </row>
    <row r="23" spans="1:60">
      <c r="A23" s="23" t="s">
        <v>142</v>
      </c>
      <c r="B23" s="13"/>
      <c r="C23" s="317">
        <v>0</v>
      </c>
      <c r="D23" s="304">
        <v>0</v>
      </c>
      <c r="E23" s="304">
        <v>0</v>
      </c>
      <c r="F23" s="304">
        <v>0</v>
      </c>
      <c r="G23" s="304">
        <v>0</v>
      </c>
      <c r="H23" s="304">
        <v>0</v>
      </c>
      <c r="I23" s="304">
        <v>0</v>
      </c>
      <c r="J23" s="304">
        <v>0</v>
      </c>
      <c r="K23" s="304">
        <v>0</v>
      </c>
      <c r="L23" s="304">
        <v>0</v>
      </c>
      <c r="M23" s="304">
        <v>0</v>
      </c>
      <c r="N23" s="304">
        <v>0</v>
      </c>
      <c r="O23" s="304">
        <v>0</v>
      </c>
      <c r="P23" s="304">
        <v>0</v>
      </c>
      <c r="Q23" s="304">
        <v>0</v>
      </c>
      <c r="R23" s="304">
        <v>0</v>
      </c>
      <c r="S23" s="304">
        <v>0</v>
      </c>
      <c r="T23" s="304">
        <v>0</v>
      </c>
      <c r="U23" s="304">
        <v>0</v>
      </c>
      <c r="V23" s="304">
        <v>0</v>
      </c>
      <c r="W23" s="304">
        <v>0</v>
      </c>
      <c r="X23" s="304">
        <v>0</v>
      </c>
      <c r="Y23" s="304">
        <v>0</v>
      </c>
      <c r="Z23" s="304">
        <v>0</v>
      </c>
      <c r="AA23" s="304">
        <v>0</v>
      </c>
      <c r="AB23" s="304">
        <v>0</v>
      </c>
      <c r="AC23" s="304">
        <v>0</v>
      </c>
      <c r="AD23" s="304">
        <v>0</v>
      </c>
      <c r="AE23" s="304">
        <v>0</v>
      </c>
      <c r="AF23" s="304">
        <v>0</v>
      </c>
      <c r="AG23" s="304">
        <v>0</v>
      </c>
      <c r="AH23" s="304">
        <v>0</v>
      </c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302"/>
      <c r="AX23" s="302"/>
      <c r="AY23" s="302"/>
      <c r="AZ23" s="302"/>
      <c r="BA23" s="302"/>
      <c r="BB23" s="302"/>
      <c r="BC23" s="302"/>
      <c r="BD23" s="302"/>
      <c r="BE23" s="302"/>
      <c r="BF23" s="302"/>
      <c r="BG23" s="302"/>
      <c r="BH23" s="302"/>
    </row>
    <row r="24" spans="1:60">
      <c r="A24" s="13"/>
      <c r="B24" s="13"/>
      <c r="C24" s="316"/>
      <c r="D24" s="23"/>
      <c r="E24" s="23"/>
      <c r="F24" s="305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149"/>
      <c r="AA24" s="149"/>
      <c r="AB24" s="302"/>
      <c r="AC24" s="302"/>
      <c r="AD24" s="302"/>
      <c r="AE24" s="302"/>
      <c r="AF24" s="302"/>
      <c r="AG24" s="302"/>
      <c r="AH24" s="302"/>
      <c r="AI24" s="302"/>
      <c r="AJ24" s="302"/>
      <c r="AK24" s="302"/>
      <c r="AL24" s="302"/>
      <c r="AM24" s="302"/>
      <c r="AN24" s="302"/>
      <c r="AO24" s="302"/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2"/>
      <c r="BA24" s="302"/>
      <c r="BB24" s="302"/>
      <c r="BC24" s="302"/>
      <c r="BD24" s="302"/>
      <c r="BE24" s="302"/>
      <c r="BF24" s="302"/>
      <c r="BG24" s="302"/>
      <c r="BH24" s="302"/>
    </row>
    <row r="25" spans="1:60">
      <c r="A25" s="132" t="s">
        <v>143</v>
      </c>
      <c r="B25" s="13"/>
      <c r="C25" s="316">
        <f>SUM(C16,C20,C22,C23)</f>
        <v>58355.117810452786</v>
      </c>
      <c r="D25" s="23">
        <f>SUM(D16,D20,D22,D23)</f>
        <v>56657.684654577068</v>
      </c>
      <c r="E25" s="23">
        <f t="shared" ref="E25:AH25" si="3">SUM(E16,E20,E22,E23)</f>
        <v>54486.534920763479</v>
      </c>
      <c r="F25" s="23">
        <f t="shared" si="3"/>
        <v>52315.385186949898</v>
      </c>
      <c r="G25" s="23">
        <f t="shared" si="3"/>
        <v>50144.235453136309</v>
      </c>
      <c r="H25" s="23">
        <f t="shared" si="3"/>
        <v>47973.085719322728</v>
      </c>
      <c r="I25" s="23">
        <f t="shared" si="3"/>
        <v>46143.501632175816</v>
      </c>
      <c r="J25" s="23">
        <f t="shared" si="3"/>
        <v>44484.700368362232</v>
      </c>
      <c r="K25" s="23">
        <f t="shared" si="3"/>
        <v>42825.899104548647</v>
      </c>
      <c r="L25" s="23">
        <f t="shared" si="3"/>
        <v>41167.097840735063</v>
      </c>
      <c r="M25" s="23">
        <f t="shared" si="3"/>
        <v>39508.296576921479</v>
      </c>
      <c r="N25" s="23">
        <f t="shared" si="3"/>
        <v>37849.495313107895</v>
      </c>
      <c r="O25" s="23">
        <f t="shared" si="3"/>
        <v>36190.69404929431</v>
      </c>
      <c r="P25" s="23">
        <f t="shared" si="3"/>
        <v>34531.892785480726</v>
      </c>
      <c r="Q25" s="23">
        <f t="shared" si="3"/>
        <v>32873.091521667142</v>
      </c>
      <c r="R25" s="23">
        <f t="shared" si="3"/>
        <v>31214.290257853554</v>
      </c>
      <c r="S25" s="23">
        <f t="shared" si="3"/>
        <v>29555.48899403997</v>
      </c>
      <c r="T25" s="23">
        <f t="shared" si="3"/>
        <v>27896.687730226386</v>
      </c>
      <c r="U25" s="23">
        <f t="shared" si="3"/>
        <v>26237.886466412801</v>
      </c>
      <c r="V25" s="23">
        <f t="shared" si="3"/>
        <v>24579.085202599221</v>
      </c>
      <c r="W25" s="23">
        <f t="shared" si="3"/>
        <v>22920.283938785637</v>
      </c>
      <c r="X25" s="23">
        <f t="shared" si="3"/>
        <v>21261.482674972052</v>
      </c>
      <c r="Y25" s="23">
        <f t="shared" si="3"/>
        <v>19602.681411158468</v>
      </c>
      <c r="Z25" s="23">
        <f t="shared" si="3"/>
        <v>17943.880147344884</v>
      </c>
      <c r="AA25" s="23">
        <f t="shared" si="3"/>
        <v>16285.0788835313</v>
      </c>
      <c r="AB25" s="23">
        <f t="shared" si="3"/>
        <v>14626.277619717715</v>
      </c>
      <c r="AC25" s="23">
        <f t="shared" si="3"/>
        <v>12967.476355904131</v>
      </c>
      <c r="AD25" s="23">
        <f t="shared" si="3"/>
        <v>11308.675092090547</v>
      </c>
      <c r="AE25" s="23">
        <f t="shared" si="3"/>
        <v>9649.8738282769627</v>
      </c>
      <c r="AF25" s="23">
        <f t="shared" si="3"/>
        <v>7991.0725644633785</v>
      </c>
      <c r="AG25" s="23">
        <f t="shared" si="3"/>
        <v>6332.2713006497943</v>
      </c>
      <c r="AH25" s="23">
        <f t="shared" si="3"/>
        <v>5779.3375460452662</v>
      </c>
      <c r="AI25" s="302"/>
      <c r="AJ25" s="302"/>
      <c r="AK25" s="302"/>
      <c r="AL25" s="302"/>
      <c r="AM25" s="302"/>
      <c r="AN25" s="302"/>
      <c r="AO25" s="302"/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2"/>
      <c r="BA25" s="302"/>
      <c r="BB25" s="302"/>
      <c r="BC25" s="302"/>
      <c r="BD25" s="302"/>
      <c r="BE25" s="302"/>
      <c r="BF25" s="302"/>
      <c r="BG25" s="302"/>
      <c r="BH25" s="302"/>
    </row>
    <row r="26" spans="1:60">
      <c r="A26" s="13"/>
      <c r="B26" s="13"/>
      <c r="C26" s="316"/>
      <c r="D26" s="23"/>
      <c r="E26" s="23"/>
      <c r="F26" s="305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149"/>
      <c r="AA26" s="149"/>
      <c r="AB26" s="302"/>
      <c r="AC26" s="302"/>
      <c r="AD26" s="302"/>
      <c r="AE26" s="302"/>
      <c r="AF26" s="302"/>
      <c r="AG26" s="302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2"/>
      <c r="BA26" s="302"/>
      <c r="BB26" s="302"/>
      <c r="BC26" s="302"/>
      <c r="BD26" s="302"/>
      <c r="BE26" s="302"/>
      <c r="BF26" s="302"/>
      <c r="BG26" s="302"/>
      <c r="BH26" s="302"/>
    </row>
    <row r="27" spans="1:60">
      <c r="A27" s="13"/>
      <c r="B27" s="13"/>
      <c r="C27" s="316"/>
      <c r="D27" s="23"/>
      <c r="E27" s="23"/>
      <c r="F27" s="305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149"/>
      <c r="AA27" s="149"/>
      <c r="AB27" s="302"/>
      <c r="AC27" s="302"/>
      <c r="AD27" s="302"/>
      <c r="AE27" s="302"/>
      <c r="AF27" s="302"/>
      <c r="AG27" s="302"/>
      <c r="AH27" s="302"/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  <c r="AW27" s="302"/>
      <c r="AX27" s="302"/>
      <c r="AY27" s="302"/>
      <c r="AZ27" s="302"/>
      <c r="BA27" s="302"/>
      <c r="BB27" s="302"/>
      <c r="BC27" s="302"/>
      <c r="BD27" s="302"/>
      <c r="BE27" s="302"/>
      <c r="BF27" s="302"/>
      <c r="BG27" s="302"/>
      <c r="BH27" s="302"/>
    </row>
    <row r="28" spans="1:60">
      <c r="A28" s="132" t="s">
        <v>144</v>
      </c>
      <c r="B28" s="13"/>
      <c r="C28" s="316"/>
      <c r="D28" s="23"/>
      <c r="E28" s="23"/>
      <c r="F28" s="305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149"/>
      <c r="AA28" s="149"/>
      <c r="AB28" s="302"/>
      <c r="AC28" s="302"/>
      <c r="AD28" s="302"/>
      <c r="AE28" s="302"/>
      <c r="AF28" s="302"/>
      <c r="AG28" s="302"/>
      <c r="AH28" s="302"/>
      <c r="AI28" s="302"/>
      <c r="AJ28" s="302"/>
      <c r="AK28" s="302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302"/>
      <c r="AW28" s="302"/>
      <c r="AX28" s="302"/>
      <c r="AY28" s="302"/>
      <c r="AZ28" s="302"/>
      <c r="BA28" s="302"/>
      <c r="BB28" s="302"/>
      <c r="BC28" s="302"/>
      <c r="BD28" s="302"/>
      <c r="BE28" s="302"/>
      <c r="BF28" s="302"/>
      <c r="BG28" s="302"/>
      <c r="BH28" s="302"/>
    </row>
    <row r="29" spans="1:60">
      <c r="A29" s="132"/>
      <c r="B29" s="13"/>
      <c r="C29" s="316"/>
      <c r="D29" s="23"/>
      <c r="E29" s="23"/>
      <c r="F29" s="305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149"/>
      <c r="AA29" s="149"/>
      <c r="AB29" s="302"/>
      <c r="AC29" s="302"/>
      <c r="AD29" s="302"/>
      <c r="AE29" s="302"/>
      <c r="AF29" s="302"/>
      <c r="AG29" s="302"/>
      <c r="AH29" s="302"/>
      <c r="AI29" s="302"/>
      <c r="AJ29" s="302"/>
      <c r="AK29" s="302"/>
      <c r="AL29" s="302"/>
      <c r="AM29" s="302"/>
      <c r="AN29" s="302"/>
      <c r="AO29" s="302"/>
      <c r="AP29" s="302"/>
      <c r="AQ29" s="302"/>
      <c r="AR29" s="302"/>
      <c r="AS29" s="302"/>
      <c r="AT29" s="302"/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</row>
    <row r="30" spans="1:60">
      <c r="A30" s="23" t="s">
        <v>145</v>
      </c>
      <c r="C30" s="313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2"/>
      <c r="AJ30" s="302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  <c r="AW30" s="302"/>
      <c r="AX30" s="302"/>
      <c r="AY30" s="302"/>
      <c r="AZ30" s="302"/>
      <c r="BA30" s="302"/>
      <c r="BB30" s="302"/>
      <c r="BC30" s="302"/>
      <c r="BD30" s="302"/>
      <c r="BE30" s="302"/>
      <c r="BF30" s="302"/>
      <c r="BG30" s="302"/>
      <c r="BH30" s="302"/>
    </row>
    <row r="31" spans="1:60">
      <c r="A31" s="23" t="s">
        <v>146</v>
      </c>
      <c r="C31" s="313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2"/>
      <c r="AJ31" s="302"/>
      <c r="AK31" s="302"/>
      <c r="AL31" s="302"/>
      <c r="AM31" s="302"/>
      <c r="AN31" s="302"/>
      <c r="AO31" s="302"/>
      <c r="AP31" s="302"/>
      <c r="AQ31" s="302"/>
      <c r="AR31" s="302"/>
      <c r="AS31" s="302"/>
      <c r="AT31" s="302"/>
      <c r="AU31" s="302"/>
      <c r="AV31" s="302"/>
      <c r="AW31" s="302"/>
      <c r="AX31" s="302"/>
      <c r="AY31" s="302"/>
      <c r="AZ31" s="302"/>
      <c r="BA31" s="302"/>
      <c r="BB31" s="302"/>
      <c r="BC31" s="302"/>
      <c r="BD31" s="302"/>
      <c r="BE31" s="302"/>
      <c r="BF31" s="302"/>
      <c r="BG31" s="302"/>
      <c r="BH31" s="302"/>
    </row>
    <row r="32" spans="1:60">
      <c r="A32" s="23" t="s">
        <v>147</v>
      </c>
      <c r="C32" s="316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2"/>
      <c r="AJ32" s="302"/>
      <c r="AK32" s="302"/>
      <c r="AL32" s="302"/>
      <c r="AM32" s="302"/>
      <c r="AN32" s="302"/>
      <c r="AO32" s="302"/>
      <c r="AP32" s="302"/>
      <c r="AQ32" s="302"/>
      <c r="AR32" s="302"/>
      <c r="AS32" s="302"/>
      <c r="AT32" s="302"/>
      <c r="AU32" s="302"/>
      <c r="AV32" s="302"/>
      <c r="AW32" s="302"/>
      <c r="AX32" s="302"/>
      <c r="AY32" s="302"/>
      <c r="AZ32" s="302"/>
      <c r="BA32" s="302"/>
      <c r="BB32" s="302"/>
      <c r="BC32" s="302"/>
      <c r="BD32" s="302"/>
      <c r="BE32" s="302"/>
      <c r="BF32" s="302"/>
      <c r="BG32" s="302"/>
      <c r="BH32" s="302"/>
    </row>
    <row r="33" spans="1:60">
      <c r="A33" s="23" t="s">
        <v>148</v>
      </c>
      <c r="C33" s="313">
        <v>0</v>
      </c>
      <c r="D33" s="18">
        <f>Assumptions!$C$50</f>
        <v>250</v>
      </c>
      <c r="E33" s="18">
        <f>Assumptions!$C$50</f>
        <v>250</v>
      </c>
      <c r="F33" s="18">
        <f>Assumptions!$C$50</f>
        <v>250</v>
      </c>
      <c r="G33" s="18">
        <f>Assumptions!$C$50</f>
        <v>250</v>
      </c>
      <c r="H33" s="18">
        <f>Assumptions!$C$50</f>
        <v>250</v>
      </c>
      <c r="I33" s="18">
        <f>Assumptions!$C$50</f>
        <v>250</v>
      </c>
      <c r="J33" s="18">
        <f>Assumptions!$C$50</f>
        <v>250</v>
      </c>
      <c r="K33" s="18">
        <f>Assumptions!$C$50</f>
        <v>250</v>
      </c>
      <c r="L33" s="18">
        <f>Assumptions!$C$50</f>
        <v>250</v>
      </c>
      <c r="M33" s="18">
        <f>Assumptions!$C$50</f>
        <v>250</v>
      </c>
      <c r="N33" s="18">
        <f>Assumptions!$C$50</f>
        <v>250</v>
      </c>
      <c r="O33" s="18">
        <f>Assumptions!$C$50</f>
        <v>250</v>
      </c>
      <c r="P33" s="18">
        <f>Assumptions!$C$50</f>
        <v>250</v>
      </c>
      <c r="Q33" s="18">
        <f>Assumptions!$C$50</f>
        <v>250</v>
      </c>
      <c r="R33" s="18">
        <f>Assumptions!$C$50</f>
        <v>250</v>
      </c>
      <c r="S33" s="18">
        <f>Assumptions!$C$50</f>
        <v>250</v>
      </c>
      <c r="T33" s="18">
        <f>Assumptions!$C$50</f>
        <v>250</v>
      </c>
      <c r="U33" s="18">
        <f>Assumptions!$C$50</f>
        <v>250</v>
      </c>
      <c r="V33" s="18">
        <f>Assumptions!$C$50</f>
        <v>250</v>
      </c>
      <c r="W33" s="18">
        <f>Assumptions!$C$50</f>
        <v>250</v>
      </c>
      <c r="X33" s="18">
        <f>Assumptions!$C$50</f>
        <v>250</v>
      </c>
      <c r="Y33" s="18">
        <f>Assumptions!$C$50</f>
        <v>250</v>
      </c>
      <c r="Z33" s="18">
        <f>Assumptions!$C$50</f>
        <v>250</v>
      </c>
      <c r="AA33" s="18">
        <f>Assumptions!$C$50</f>
        <v>250</v>
      </c>
      <c r="AB33" s="18">
        <f>Assumptions!$C$50</f>
        <v>250</v>
      </c>
      <c r="AC33" s="18">
        <f>Assumptions!$C$50</f>
        <v>250</v>
      </c>
      <c r="AD33" s="18">
        <f>Assumptions!$C$50</f>
        <v>250</v>
      </c>
      <c r="AE33" s="18">
        <f>Assumptions!$C$50</f>
        <v>250</v>
      </c>
      <c r="AF33" s="18">
        <f>Assumptions!$C$50</f>
        <v>250</v>
      </c>
      <c r="AG33" s="18">
        <f>Assumptions!$C$50</f>
        <v>250</v>
      </c>
      <c r="AH33" s="18">
        <f>Assumptions!$C$50</f>
        <v>250</v>
      </c>
      <c r="AI33" s="302"/>
      <c r="AJ33" s="302"/>
      <c r="AK33" s="302"/>
      <c r="AL33" s="302"/>
      <c r="AM33" s="302"/>
      <c r="AN33" s="302"/>
      <c r="AO33" s="302"/>
      <c r="AP33" s="302"/>
      <c r="AQ33" s="302"/>
      <c r="AR33" s="302"/>
      <c r="AS33" s="302"/>
      <c r="AT33" s="302"/>
      <c r="AU33" s="302"/>
      <c r="AV33" s="302"/>
      <c r="AW33" s="302"/>
      <c r="AX33" s="302"/>
      <c r="AY33" s="302"/>
      <c r="AZ33" s="302"/>
      <c r="BA33" s="302"/>
      <c r="BB33" s="302"/>
      <c r="BC33" s="302"/>
      <c r="BD33" s="302"/>
      <c r="BE33" s="302"/>
      <c r="BF33" s="302"/>
      <c r="BG33" s="302"/>
      <c r="BH33" s="302"/>
    </row>
    <row r="34" spans="1:60">
      <c r="A34" s="23" t="s">
        <v>149</v>
      </c>
      <c r="C34" s="316">
        <f>Assumptions!C11</f>
        <v>40673.582467316948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2"/>
      <c r="AJ34" s="302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</row>
    <row r="35" spans="1:60">
      <c r="A35" s="23" t="s">
        <v>150</v>
      </c>
      <c r="C35" s="315">
        <v>0</v>
      </c>
      <c r="D35" s="303">
        <v>0</v>
      </c>
      <c r="E35" s="303">
        <v>0</v>
      </c>
      <c r="F35" s="306">
        <v>0</v>
      </c>
      <c r="G35" s="307">
        <v>0</v>
      </c>
      <c r="H35" s="307">
        <v>0</v>
      </c>
      <c r="I35" s="307">
        <v>0</v>
      </c>
      <c r="J35" s="307">
        <v>0</v>
      </c>
      <c r="K35" s="307">
        <v>0</v>
      </c>
      <c r="L35" s="307">
        <v>0</v>
      </c>
      <c r="M35" s="307">
        <v>0</v>
      </c>
      <c r="N35" s="307">
        <v>0</v>
      </c>
      <c r="O35" s="307">
        <v>0</v>
      </c>
      <c r="P35" s="307">
        <v>0</v>
      </c>
      <c r="Q35" s="307">
        <v>0</v>
      </c>
      <c r="R35" s="307">
        <v>0</v>
      </c>
      <c r="S35" s="307">
        <v>0</v>
      </c>
      <c r="T35" s="307">
        <v>0</v>
      </c>
      <c r="U35" s="307">
        <v>0</v>
      </c>
      <c r="V35" s="307">
        <v>0</v>
      </c>
      <c r="W35" s="307">
        <v>0</v>
      </c>
      <c r="X35" s="307">
        <v>0</v>
      </c>
      <c r="Y35" s="307">
        <v>0</v>
      </c>
      <c r="Z35" s="308">
        <v>0</v>
      </c>
      <c r="AA35" s="308">
        <v>0</v>
      </c>
      <c r="AB35" s="307">
        <v>0</v>
      </c>
      <c r="AC35" s="307">
        <v>0</v>
      </c>
      <c r="AD35" s="307">
        <v>0</v>
      </c>
      <c r="AE35" s="307">
        <v>0</v>
      </c>
      <c r="AF35" s="307">
        <v>0</v>
      </c>
      <c r="AG35" s="307">
        <v>0</v>
      </c>
      <c r="AH35" s="307">
        <v>0</v>
      </c>
      <c r="AI35" s="302"/>
      <c r="AJ35" s="302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2"/>
      <c r="BF35" s="302"/>
      <c r="BG35" s="302"/>
      <c r="BH35" s="302"/>
    </row>
    <row r="36" spans="1:60">
      <c r="A36" s="23"/>
      <c r="C36" s="316"/>
      <c r="D36" s="23"/>
      <c r="E36" s="23"/>
      <c r="F36" s="305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149"/>
      <c r="AA36" s="149"/>
      <c r="AB36" s="302"/>
      <c r="AC36" s="302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</row>
    <row r="37" spans="1:60">
      <c r="A37" s="132" t="s">
        <v>151</v>
      </c>
      <c r="B37" s="13"/>
      <c r="C37" s="316">
        <f>SUM(C30:C35)</f>
        <v>40673.582467316948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</row>
    <row r="38" spans="1:60">
      <c r="A38" s="23"/>
      <c r="B38" s="13"/>
      <c r="C38" s="316"/>
      <c r="D38" s="23"/>
      <c r="E38" s="23"/>
      <c r="F38" s="305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149"/>
      <c r="AA38" s="149"/>
      <c r="AB38" s="302"/>
      <c r="AC38" s="302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</row>
    <row r="39" spans="1:60">
      <c r="A39" s="132" t="s">
        <v>152</v>
      </c>
      <c r="B39" s="13"/>
      <c r="C39" s="316"/>
      <c r="D39" s="23"/>
      <c r="E39" s="23"/>
      <c r="F39" s="305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149"/>
      <c r="AA39" s="149"/>
      <c r="AB39" s="302"/>
      <c r="AC39" s="302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</row>
    <row r="40" spans="1:60">
      <c r="A40" s="132"/>
      <c r="B40" s="13"/>
      <c r="C40" s="316"/>
      <c r="D40" s="23"/>
      <c r="E40" s="23"/>
      <c r="F40" s="305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149"/>
      <c r="AA40" s="149"/>
      <c r="AB40" s="302"/>
      <c r="AC40" s="302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</row>
    <row r="41" spans="1:60">
      <c r="A41" s="23" t="s">
        <v>153</v>
      </c>
      <c r="C41" s="316">
        <f>Assumptions!$C$10</f>
        <v>17431.535343135838</v>
      </c>
      <c r="D41" s="23">
        <f>Assumptions!$C$10</f>
        <v>17431.535343135838</v>
      </c>
      <c r="E41" s="23">
        <f>Assumptions!$C$10</f>
        <v>17431.535343135838</v>
      </c>
      <c r="F41" s="23">
        <f>Assumptions!$C$10</f>
        <v>17431.535343135838</v>
      </c>
      <c r="G41" s="23">
        <f>Assumptions!$C$10</f>
        <v>17431.535343135838</v>
      </c>
      <c r="H41" s="23">
        <f>Assumptions!$C$10</f>
        <v>17431.535343135838</v>
      </c>
      <c r="I41" s="23">
        <f>Assumptions!$C$10</f>
        <v>17431.535343135838</v>
      </c>
      <c r="J41" s="23">
        <f>Assumptions!$C$10</f>
        <v>17431.535343135838</v>
      </c>
      <c r="K41" s="23">
        <f>Assumptions!$C$10</f>
        <v>17431.535343135838</v>
      </c>
      <c r="L41" s="23">
        <f>Assumptions!$C$10</f>
        <v>17431.535343135838</v>
      </c>
      <c r="M41" s="23">
        <f>Assumptions!$C$10</f>
        <v>17431.535343135838</v>
      </c>
      <c r="N41" s="23">
        <f>Assumptions!$C$10</f>
        <v>17431.535343135838</v>
      </c>
      <c r="O41" s="23">
        <f>Assumptions!$C$10</f>
        <v>17431.535343135838</v>
      </c>
      <c r="P41" s="23">
        <f>Assumptions!$C$10</f>
        <v>17431.535343135838</v>
      </c>
      <c r="Q41" s="23">
        <f>Assumptions!$C$10</f>
        <v>17431.535343135838</v>
      </c>
      <c r="R41" s="23">
        <f>Assumptions!$C$10</f>
        <v>17431.535343135838</v>
      </c>
      <c r="S41" s="23">
        <f>Assumptions!$C$10</f>
        <v>17431.535343135838</v>
      </c>
      <c r="T41" s="23">
        <f>Assumptions!$C$10</f>
        <v>17431.535343135838</v>
      </c>
      <c r="U41" s="23">
        <f>Assumptions!$C$10</f>
        <v>17431.535343135838</v>
      </c>
      <c r="V41" s="23">
        <f>Assumptions!$C$10</f>
        <v>17431.535343135838</v>
      </c>
      <c r="W41" s="23">
        <f>Assumptions!$C$10</f>
        <v>17431.535343135838</v>
      </c>
      <c r="X41" s="23">
        <f>Assumptions!$C$10</f>
        <v>17431.535343135838</v>
      </c>
      <c r="Y41" s="23">
        <f>Assumptions!$C$10</f>
        <v>17431.535343135838</v>
      </c>
      <c r="Z41" s="23">
        <f>Assumptions!$C$10</f>
        <v>17431.535343135838</v>
      </c>
      <c r="AA41" s="23">
        <f>Assumptions!$C$10</f>
        <v>17431.535343135838</v>
      </c>
      <c r="AB41" s="23">
        <f>Assumptions!$C$10</f>
        <v>17431.535343135838</v>
      </c>
      <c r="AC41" s="23">
        <f>Assumptions!$C$10</f>
        <v>17431.535343135838</v>
      </c>
      <c r="AD41" s="23">
        <f>Assumptions!$C$10</f>
        <v>17431.535343135838</v>
      </c>
      <c r="AE41" s="23">
        <f>Assumptions!$C$10</f>
        <v>17431.535343135838</v>
      </c>
      <c r="AF41" s="23">
        <f>Assumptions!$C$10</f>
        <v>17431.535343135838</v>
      </c>
      <c r="AG41" s="23">
        <f>Assumptions!$C$10</f>
        <v>17431.535343135838</v>
      </c>
      <c r="AH41" s="23">
        <f>Assumptions!$C$10</f>
        <v>17431.535343135838</v>
      </c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</row>
    <row r="42" spans="1:60">
      <c r="A42" s="23" t="s">
        <v>154</v>
      </c>
      <c r="C42" s="315" t="e">
        <f>IS!B45-'Returns Analysis'!#REF!</f>
        <v>#REF!</v>
      </c>
      <c r="D42" s="303" t="e">
        <f>IS!C45-'Returns Analysis'!#REF!</f>
        <v>#REF!</v>
      </c>
      <c r="E42" s="303" t="e">
        <f>IS!D45-'Returns Analysis'!#REF!</f>
        <v>#REF!</v>
      </c>
      <c r="F42" s="303" t="e">
        <f>IS!E45-'Returns Analysis'!#REF!</f>
        <v>#REF!</v>
      </c>
      <c r="G42" s="303" t="e">
        <f>IS!F45-'Returns Analysis'!#REF!</f>
        <v>#REF!</v>
      </c>
      <c r="H42" s="303" t="e">
        <f>IS!G45-'Returns Analysis'!#REF!</f>
        <v>#REF!</v>
      </c>
      <c r="I42" s="303" t="e">
        <f>IS!H45-'Returns Analysis'!#REF!</f>
        <v>#REF!</v>
      </c>
      <c r="J42" s="303" t="e">
        <f>IS!I45-'Returns Analysis'!#REF!</f>
        <v>#REF!</v>
      </c>
      <c r="K42" s="303" t="e">
        <f>IS!J45-'Returns Analysis'!#REF!</f>
        <v>#REF!</v>
      </c>
      <c r="L42" s="303" t="e">
        <f>IS!K45-'Returns Analysis'!#REF!</f>
        <v>#REF!</v>
      </c>
      <c r="M42" s="303" t="e">
        <f>IS!L45-'Returns Analysis'!#REF!</f>
        <v>#REF!</v>
      </c>
      <c r="N42" s="303" t="e">
        <f>IS!M45-'Returns Analysis'!#REF!</f>
        <v>#REF!</v>
      </c>
      <c r="O42" s="303" t="e">
        <f>IS!N45-'Returns Analysis'!#REF!</f>
        <v>#REF!</v>
      </c>
      <c r="P42" s="303" t="e">
        <f>IS!O45-'Returns Analysis'!#REF!</f>
        <v>#REF!</v>
      </c>
      <c r="Q42" s="303" t="e">
        <f>IS!P45-'Returns Analysis'!#REF!</f>
        <v>#REF!</v>
      </c>
      <c r="R42" s="303" t="e">
        <f>IS!Q45-'Returns Analysis'!#REF!</f>
        <v>#REF!</v>
      </c>
      <c r="S42" s="303" t="e">
        <f>IS!R45-'Returns Analysis'!#REF!</f>
        <v>#REF!</v>
      </c>
      <c r="T42" s="303" t="e">
        <f>IS!S45-'Returns Analysis'!#REF!</f>
        <v>#REF!</v>
      </c>
      <c r="U42" s="303" t="e">
        <f>IS!T45-'Returns Analysis'!#REF!</f>
        <v>#REF!</v>
      </c>
      <c r="V42" s="303" t="e">
        <f>IS!U45-'Returns Analysis'!#REF!</f>
        <v>#REF!</v>
      </c>
      <c r="W42" s="303" t="e">
        <f>IS!V45-'Returns Analysis'!#REF!</f>
        <v>#REF!</v>
      </c>
      <c r="X42" s="303" t="e">
        <f>IS!W45-'Returns Analysis'!#REF!</f>
        <v>#REF!</v>
      </c>
      <c r="Y42" s="303" t="e">
        <f>IS!X45-'Returns Analysis'!#REF!</f>
        <v>#REF!</v>
      </c>
      <c r="Z42" s="303" t="e">
        <f>IS!Y45-'Returns Analysis'!#REF!</f>
        <v>#REF!</v>
      </c>
      <c r="AA42" s="303" t="e">
        <f>IS!Z45-'Returns Analysis'!#REF!</f>
        <v>#REF!</v>
      </c>
      <c r="AB42" s="303" t="e">
        <f>IS!AA45-'Returns Analysis'!#REF!</f>
        <v>#REF!</v>
      </c>
      <c r="AC42" s="303" t="e">
        <f>IS!AB45-'Returns Analysis'!#REF!</f>
        <v>#REF!</v>
      </c>
      <c r="AD42" s="303" t="e">
        <f>IS!AC45-'Returns Analysis'!#REF!</f>
        <v>#REF!</v>
      </c>
      <c r="AE42" s="303" t="e">
        <f>IS!AD45-'Returns Analysis'!#REF!</f>
        <v>#REF!</v>
      </c>
      <c r="AF42" s="303" t="e">
        <f>IS!AE45-'Returns Analysis'!#REF!</f>
        <v>#REF!</v>
      </c>
      <c r="AG42" s="303" t="e">
        <f>IS!AF45-'Returns Analysis'!#REF!</f>
        <v>#REF!</v>
      </c>
      <c r="AH42" s="303" t="e">
        <f>IS!AG45-'Returns Analysis'!#REF!</f>
        <v>#REF!</v>
      </c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</row>
    <row r="43" spans="1:60">
      <c r="A43" s="23" t="s">
        <v>155</v>
      </c>
      <c r="C43" s="316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</row>
    <row r="44" spans="1:60">
      <c r="A44" s="13"/>
      <c r="B44" s="13"/>
      <c r="C44" s="316"/>
      <c r="D44" s="23"/>
      <c r="E44" s="23"/>
      <c r="F44" s="305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149"/>
      <c r="AA44" s="149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</row>
    <row r="45" spans="1:60">
      <c r="A45" s="132" t="s">
        <v>156</v>
      </c>
      <c r="B45" s="13"/>
      <c r="C45" s="316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2"/>
      <c r="AJ45" s="302"/>
      <c r="AK45" s="302"/>
      <c r="AL45" s="302"/>
      <c r="AM45" s="302"/>
      <c r="AN45" s="302"/>
      <c r="AO45" s="302"/>
      <c r="AP45" s="302"/>
      <c r="AQ45" s="302"/>
      <c r="AR45" s="302"/>
      <c r="AS45" s="302"/>
      <c r="AT45" s="302"/>
      <c r="AU45" s="302"/>
      <c r="AV45" s="302"/>
      <c r="AW45" s="302"/>
      <c r="AX45" s="302"/>
      <c r="AY45" s="302"/>
      <c r="AZ45" s="302"/>
      <c r="BA45" s="302"/>
      <c r="BB45" s="302"/>
      <c r="BC45" s="302"/>
      <c r="BD45" s="302"/>
      <c r="BE45" s="302"/>
      <c r="BF45" s="302"/>
      <c r="BG45" s="302"/>
      <c r="BH45" s="302"/>
    </row>
    <row r="46" spans="1:60">
      <c r="A46" s="23"/>
      <c r="B46" s="13"/>
      <c r="C46" s="316"/>
      <c r="D46" s="23"/>
      <c r="E46" s="23"/>
      <c r="F46" s="305"/>
      <c r="G46" s="302"/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Y46" s="302"/>
      <c r="Z46" s="149"/>
      <c r="AA46" s="149"/>
      <c r="AB46" s="302"/>
      <c r="AC46" s="302"/>
      <c r="AD46" s="302"/>
      <c r="AE46" s="302"/>
      <c r="AF46" s="302"/>
      <c r="AG46" s="302"/>
      <c r="AH46" s="302"/>
      <c r="AI46" s="302"/>
      <c r="AJ46" s="302"/>
      <c r="AK46" s="302"/>
      <c r="AL46" s="302"/>
      <c r="AM46" s="302"/>
      <c r="AN46" s="302"/>
      <c r="AO46" s="302"/>
      <c r="AP46" s="302"/>
      <c r="AQ46" s="302"/>
      <c r="AR46" s="302"/>
      <c r="AS46" s="302"/>
      <c r="AT46" s="302"/>
      <c r="AU46" s="302"/>
      <c r="AV46" s="302"/>
      <c r="AW46" s="302"/>
      <c r="AX46" s="302"/>
      <c r="AY46" s="302"/>
      <c r="AZ46" s="302"/>
      <c r="BA46" s="302"/>
      <c r="BB46" s="302"/>
      <c r="BC46" s="302"/>
      <c r="BD46" s="302"/>
      <c r="BE46" s="302"/>
      <c r="BF46" s="302"/>
      <c r="BG46" s="302"/>
      <c r="BH46" s="302"/>
    </row>
    <row r="47" spans="1:60">
      <c r="A47" s="132" t="s">
        <v>157</v>
      </c>
      <c r="B47" s="13"/>
      <c r="C47" s="316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2"/>
      <c r="AJ47" s="302"/>
      <c r="AK47" s="302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2"/>
      <c r="AX47" s="302"/>
      <c r="AY47" s="302"/>
      <c r="AZ47" s="302"/>
      <c r="BA47" s="302"/>
      <c r="BB47" s="302"/>
      <c r="BC47" s="302"/>
      <c r="BD47" s="302"/>
      <c r="BE47" s="302"/>
      <c r="BF47" s="302"/>
      <c r="BG47" s="302"/>
      <c r="BH47" s="302"/>
    </row>
    <row r="48" spans="1:60">
      <c r="A48" s="13"/>
      <c r="B48" s="13"/>
      <c r="C48" s="23"/>
      <c r="D48" s="23"/>
      <c r="E48" s="23"/>
      <c r="F48" s="305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149"/>
      <c r="AA48" s="149"/>
      <c r="AB48" s="302"/>
      <c r="AC48" s="302"/>
      <c r="AD48" s="302"/>
      <c r="AE48" s="302"/>
      <c r="AF48" s="302"/>
      <c r="AG48" s="302"/>
      <c r="AH48" s="302"/>
      <c r="AI48" s="302"/>
      <c r="AJ48" s="302"/>
      <c r="AK48" s="302"/>
      <c r="AL48" s="302"/>
      <c r="AM48" s="302"/>
      <c r="AN48" s="302"/>
      <c r="AO48" s="302"/>
      <c r="AP48" s="302"/>
      <c r="AQ48" s="302"/>
      <c r="AR48" s="302"/>
      <c r="AS48" s="302"/>
      <c r="AT48" s="302"/>
      <c r="AU48" s="302"/>
      <c r="AV48" s="302"/>
      <c r="AW48" s="302"/>
      <c r="AX48" s="302"/>
      <c r="AY48" s="302"/>
      <c r="AZ48" s="302"/>
      <c r="BA48" s="302"/>
      <c r="BB48" s="302"/>
      <c r="BC48" s="302"/>
      <c r="BD48" s="302"/>
      <c r="BE48" s="302"/>
      <c r="BF48" s="302"/>
      <c r="BG48" s="302"/>
      <c r="BH48" s="302"/>
    </row>
    <row r="49" spans="1:60">
      <c r="A49" s="13"/>
      <c r="B49" s="13"/>
      <c r="C49" s="23"/>
      <c r="D49" s="23"/>
      <c r="E49" s="23"/>
      <c r="F49" s="305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149"/>
      <c r="AA49" s="149"/>
      <c r="AB49" s="302"/>
      <c r="AC49" s="302"/>
      <c r="AD49" s="302"/>
      <c r="AE49" s="302"/>
      <c r="AF49" s="302"/>
      <c r="AG49" s="302"/>
      <c r="AH49" s="302"/>
      <c r="AI49" s="302"/>
      <c r="AJ49" s="302"/>
      <c r="AK49" s="302"/>
      <c r="AL49" s="302"/>
      <c r="AM49" s="302"/>
      <c r="AN49" s="302"/>
      <c r="AO49" s="302"/>
      <c r="AP49" s="302"/>
      <c r="AQ49" s="302"/>
      <c r="AR49" s="302"/>
      <c r="AS49" s="302"/>
      <c r="AT49" s="302"/>
      <c r="AU49" s="302"/>
      <c r="AV49" s="302"/>
      <c r="AW49" s="302"/>
      <c r="AX49" s="302"/>
      <c r="AY49" s="302"/>
      <c r="AZ49" s="302"/>
      <c r="BA49" s="302"/>
      <c r="BB49" s="302"/>
      <c r="BC49" s="302"/>
      <c r="BD49" s="302"/>
      <c r="BE49" s="302"/>
      <c r="BF49" s="302"/>
      <c r="BG49" s="302"/>
      <c r="BH49" s="302"/>
    </row>
    <row r="50" spans="1:60">
      <c r="A50" s="13"/>
      <c r="B50" s="13"/>
      <c r="C50" s="23"/>
      <c r="D50" s="23"/>
      <c r="E50" s="23"/>
      <c r="F50" s="305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149"/>
      <c r="AA50" s="149"/>
      <c r="AB50" s="302"/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</row>
    <row r="51" spans="1:60">
      <c r="A51" s="13"/>
      <c r="B51" s="13"/>
      <c r="C51" s="23"/>
      <c r="D51" s="23"/>
      <c r="E51" s="23"/>
      <c r="F51" s="305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149"/>
      <c r="AA51" s="149"/>
      <c r="AB51" s="302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</row>
    <row r="52" spans="1:60">
      <c r="A52" s="13"/>
      <c r="B52" s="13"/>
      <c r="C52" s="23"/>
      <c r="D52" s="23"/>
      <c r="E52" s="23"/>
      <c r="F52" s="305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149"/>
      <c r="AA52" s="149"/>
      <c r="AB52" s="302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2"/>
      <c r="BF52" s="302"/>
      <c r="BG52" s="302"/>
      <c r="BH52" s="302"/>
    </row>
    <row r="53" spans="1:60">
      <c r="A53" s="13"/>
      <c r="B53" s="13"/>
      <c r="C53" s="23"/>
      <c r="D53" s="23"/>
      <c r="E53" s="23"/>
      <c r="F53" s="305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149"/>
      <c r="AA53" s="149"/>
      <c r="AB53" s="302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2"/>
      <c r="BF53" s="302"/>
      <c r="BG53" s="302"/>
      <c r="BH53" s="302"/>
    </row>
    <row r="54" spans="1:60">
      <c r="A54" s="13"/>
      <c r="B54" s="13"/>
      <c r="C54" s="23"/>
      <c r="D54" s="23"/>
      <c r="E54" s="23"/>
      <c r="F54" s="305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149"/>
      <c r="AA54" s="149"/>
      <c r="AB54" s="302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</row>
    <row r="55" spans="1:60">
      <c r="A55" s="13"/>
      <c r="B55" s="176"/>
      <c r="C55" s="305"/>
      <c r="D55" s="305"/>
      <c r="E55" s="305"/>
      <c r="F55" s="305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149"/>
      <c r="AA55" s="149"/>
      <c r="AB55" s="302"/>
      <c r="AC55" s="302"/>
      <c r="AD55" s="302"/>
      <c r="AE55" s="302"/>
      <c r="AF55" s="302"/>
      <c r="AG55" s="302"/>
      <c r="AH55" s="302"/>
      <c r="AI55" s="302"/>
      <c r="AJ55" s="302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</row>
    <row r="56" spans="1:60">
      <c r="A56" s="13"/>
      <c r="B56" s="176"/>
      <c r="C56" s="305"/>
      <c r="D56" s="305"/>
      <c r="E56" s="305"/>
      <c r="F56" s="305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149"/>
      <c r="AA56" s="149"/>
      <c r="AB56" s="302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</row>
    <row r="57" spans="1:60">
      <c r="A57" s="13"/>
      <c r="B57" s="176"/>
      <c r="C57" s="305"/>
      <c r="D57" s="305"/>
      <c r="E57" s="305"/>
      <c r="F57" s="305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149"/>
      <c r="AA57" s="149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</row>
    <row r="58" spans="1:60">
      <c r="A58" s="13"/>
      <c r="B58" s="176"/>
      <c r="C58" s="305"/>
      <c r="D58" s="305"/>
      <c r="E58" s="305"/>
      <c r="F58" s="305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149"/>
      <c r="AA58" s="149"/>
      <c r="AB58" s="302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</row>
    <row r="59" spans="1:60">
      <c r="A59" s="13"/>
      <c r="B59" s="176"/>
      <c r="C59" s="305"/>
      <c r="D59" s="305"/>
      <c r="E59" s="305"/>
      <c r="F59" s="305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149"/>
      <c r="AA59" s="149"/>
      <c r="AB59" s="302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</row>
    <row r="60" spans="1:60">
      <c r="A60" s="13"/>
      <c r="B60" s="176"/>
      <c r="C60" s="305"/>
      <c r="D60" s="305"/>
      <c r="E60" s="305"/>
      <c r="F60" s="305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149"/>
      <c r="AA60" s="149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2"/>
      <c r="AW60" s="302"/>
      <c r="AX60" s="302"/>
      <c r="AY60" s="302"/>
    </row>
    <row r="61" spans="1:60">
      <c r="A61" s="176"/>
      <c r="B61" s="176"/>
      <c r="C61" s="305"/>
      <c r="D61" s="305"/>
      <c r="E61" s="305"/>
      <c r="F61" s="305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149"/>
      <c r="AA61" s="149"/>
      <c r="AB61" s="302"/>
      <c r="AC61" s="302"/>
      <c r="AD61" s="302"/>
      <c r="AE61" s="302"/>
      <c r="AF61" s="302"/>
      <c r="AG61" s="302"/>
      <c r="AH61" s="302"/>
      <c r="AI61" s="302"/>
      <c r="AJ61" s="302"/>
      <c r="AK61" s="302"/>
      <c r="AL61" s="302"/>
      <c r="AM61" s="302"/>
      <c r="AN61" s="302"/>
      <c r="AO61" s="302"/>
      <c r="AP61" s="302"/>
      <c r="AQ61" s="302"/>
      <c r="AR61" s="302"/>
      <c r="AS61" s="302"/>
      <c r="AT61" s="302"/>
      <c r="AU61" s="302"/>
      <c r="AV61" s="302"/>
      <c r="AW61" s="302"/>
      <c r="AX61" s="302"/>
      <c r="AY61" s="302"/>
    </row>
    <row r="62" spans="1:60"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149"/>
      <c r="AA62" s="149"/>
      <c r="AB62" s="302"/>
      <c r="AC62" s="302"/>
      <c r="AD62" s="302"/>
      <c r="AE62" s="302"/>
      <c r="AF62" s="302"/>
      <c r="AG62" s="302"/>
      <c r="AH62" s="302"/>
      <c r="AI62" s="302"/>
      <c r="AJ62" s="302"/>
      <c r="AK62" s="302"/>
      <c r="AL62" s="302"/>
      <c r="AM62" s="302"/>
      <c r="AN62" s="302"/>
      <c r="AO62" s="302"/>
      <c r="AP62" s="302"/>
      <c r="AQ62" s="302"/>
      <c r="AR62" s="302"/>
      <c r="AS62" s="302"/>
      <c r="AT62" s="302"/>
      <c r="AU62" s="302"/>
      <c r="AV62" s="302"/>
      <c r="AW62" s="302"/>
      <c r="AX62" s="302"/>
      <c r="AY62" s="302"/>
    </row>
    <row r="63" spans="1:60"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149"/>
      <c r="AA63" s="149"/>
      <c r="AB63" s="302"/>
      <c r="AC63" s="302"/>
      <c r="AD63" s="302"/>
      <c r="AE63" s="302"/>
      <c r="AF63" s="302"/>
      <c r="AG63" s="302"/>
      <c r="AH63" s="302"/>
      <c r="AI63" s="302"/>
      <c r="AJ63" s="302"/>
      <c r="AK63" s="302"/>
      <c r="AL63" s="302"/>
      <c r="AM63" s="302"/>
      <c r="AN63" s="302"/>
      <c r="AO63" s="302"/>
      <c r="AP63" s="302"/>
      <c r="AQ63" s="302"/>
      <c r="AR63" s="302"/>
      <c r="AS63" s="302"/>
      <c r="AT63" s="302"/>
      <c r="AU63" s="302"/>
      <c r="AV63" s="302"/>
      <c r="AW63" s="302"/>
      <c r="AX63" s="302"/>
      <c r="AY63" s="302"/>
    </row>
    <row r="64" spans="1:60"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149"/>
      <c r="AA64" s="149"/>
      <c r="AB64" s="302"/>
      <c r="AC64" s="302"/>
      <c r="AD64" s="302"/>
      <c r="AE64" s="302"/>
      <c r="AF64" s="302"/>
      <c r="AG64" s="302"/>
      <c r="AH64" s="302"/>
      <c r="AI64" s="302"/>
      <c r="AJ64" s="302"/>
      <c r="AK64" s="302"/>
      <c r="AL64" s="302"/>
      <c r="AM64" s="302"/>
      <c r="AN64" s="302"/>
      <c r="AO64" s="302"/>
      <c r="AP64" s="302"/>
      <c r="AQ64" s="302"/>
      <c r="AR64" s="302"/>
      <c r="AS64" s="302"/>
      <c r="AT64" s="302"/>
      <c r="AU64" s="302"/>
      <c r="AV64" s="302"/>
      <c r="AW64" s="302"/>
      <c r="AX64" s="302"/>
      <c r="AY64" s="302"/>
    </row>
    <row r="65" spans="3:51"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149"/>
      <c r="AA65" s="149"/>
      <c r="AB65" s="302"/>
      <c r="AC65" s="302"/>
      <c r="AD65" s="302"/>
      <c r="AE65" s="302"/>
      <c r="AF65" s="302"/>
      <c r="AG65" s="302"/>
      <c r="AH65" s="302"/>
      <c r="AI65" s="302"/>
      <c r="AJ65" s="302"/>
      <c r="AK65" s="302"/>
      <c r="AL65" s="302"/>
      <c r="AM65" s="302"/>
      <c r="AN65" s="302"/>
      <c r="AO65" s="302"/>
      <c r="AP65" s="302"/>
      <c r="AQ65" s="302"/>
      <c r="AR65" s="302"/>
      <c r="AS65" s="302"/>
      <c r="AT65" s="302"/>
      <c r="AU65" s="302"/>
      <c r="AV65" s="302"/>
      <c r="AW65" s="302"/>
      <c r="AX65" s="302"/>
      <c r="AY65" s="302"/>
    </row>
    <row r="66" spans="3:51"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149"/>
      <c r="AA66" s="149"/>
      <c r="AB66" s="302"/>
      <c r="AC66" s="302"/>
      <c r="AD66" s="302"/>
      <c r="AE66" s="302"/>
      <c r="AF66" s="302"/>
      <c r="AG66" s="302"/>
      <c r="AH66" s="302"/>
      <c r="AI66" s="302"/>
      <c r="AJ66" s="302"/>
      <c r="AK66" s="302"/>
      <c r="AL66" s="302"/>
      <c r="AM66" s="302"/>
      <c r="AN66" s="302"/>
      <c r="AO66" s="302"/>
      <c r="AP66" s="302"/>
      <c r="AQ66" s="302"/>
      <c r="AR66" s="302"/>
      <c r="AS66" s="302"/>
      <c r="AT66" s="302"/>
      <c r="AU66" s="302"/>
      <c r="AV66" s="302"/>
      <c r="AW66" s="302"/>
      <c r="AX66" s="302"/>
      <c r="AY66" s="302"/>
    </row>
    <row r="67" spans="3:51"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149"/>
      <c r="AA67" s="149"/>
      <c r="AB67" s="302"/>
      <c r="AC67" s="302"/>
      <c r="AD67" s="302"/>
      <c r="AE67" s="302"/>
      <c r="AF67" s="302"/>
      <c r="AG67" s="302"/>
      <c r="AH67" s="302"/>
      <c r="AI67" s="302"/>
      <c r="AJ67" s="302"/>
      <c r="AK67" s="302"/>
      <c r="AL67" s="302"/>
      <c r="AM67" s="302"/>
      <c r="AN67" s="302"/>
      <c r="AO67" s="302"/>
      <c r="AP67" s="302"/>
      <c r="AQ67" s="302"/>
      <c r="AR67" s="302"/>
      <c r="AS67" s="302"/>
      <c r="AT67" s="302"/>
      <c r="AU67" s="302"/>
      <c r="AV67" s="302"/>
      <c r="AW67" s="302"/>
      <c r="AX67" s="302"/>
      <c r="AY67" s="302"/>
    </row>
    <row r="68" spans="3:51"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149"/>
      <c r="AA68" s="149"/>
      <c r="AB68" s="302"/>
      <c r="AC68" s="302"/>
      <c r="AD68" s="302"/>
      <c r="AE68" s="302"/>
      <c r="AF68" s="302"/>
      <c r="AG68" s="302"/>
      <c r="AH68" s="302"/>
      <c r="AI68" s="302"/>
      <c r="AJ68" s="302"/>
      <c r="AK68" s="302"/>
      <c r="AL68" s="302"/>
      <c r="AM68" s="302"/>
      <c r="AN68" s="302"/>
      <c r="AO68" s="302"/>
      <c r="AP68" s="302"/>
      <c r="AQ68" s="302"/>
      <c r="AR68" s="302"/>
      <c r="AS68" s="302"/>
      <c r="AT68" s="302"/>
      <c r="AU68" s="302"/>
      <c r="AV68" s="302"/>
      <c r="AW68" s="302"/>
      <c r="AX68" s="302"/>
      <c r="AY68" s="302"/>
    </row>
    <row r="69" spans="3:51"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149"/>
      <c r="AA69" s="149"/>
      <c r="AB69" s="302"/>
      <c r="AC69" s="302"/>
      <c r="AD69" s="302"/>
      <c r="AE69" s="302"/>
      <c r="AF69" s="302"/>
      <c r="AG69" s="302"/>
      <c r="AH69" s="302"/>
      <c r="AI69" s="302"/>
      <c r="AJ69" s="302"/>
      <c r="AK69" s="302"/>
      <c r="AL69" s="302"/>
      <c r="AM69" s="302"/>
      <c r="AN69" s="302"/>
      <c r="AO69" s="302"/>
      <c r="AP69" s="302"/>
      <c r="AQ69" s="302"/>
      <c r="AR69" s="302"/>
      <c r="AS69" s="302"/>
      <c r="AT69" s="302"/>
      <c r="AU69" s="302"/>
      <c r="AV69" s="302"/>
      <c r="AW69" s="302"/>
      <c r="AX69" s="302"/>
      <c r="AY69" s="302"/>
    </row>
    <row r="70" spans="3:51"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149"/>
      <c r="AA70" s="149"/>
      <c r="AB70" s="302"/>
      <c r="AC70" s="302"/>
      <c r="AD70" s="302"/>
      <c r="AE70" s="302"/>
      <c r="AF70" s="302"/>
      <c r="AG70" s="302"/>
      <c r="AH70" s="302"/>
      <c r="AI70" s="302"/>
      <c r="AJ70" s="302"/>
      <c r="AK70" s="302"/>
      <c r="AL70" s="302"/>
      <c r="AM70" s="302"/>
      <c r="AN70" s="302"/>
      <c r="AO70" s="302"/>
      <c r="AP70" s="302"/>
      <c r="AQ70" s="302"/>
      <c r="AR70" s="302"/>
      <c r="AS70" s="302"/>
      <c r="AT70" s="302"/>
      <c r="AU70" s="302"/>
      <c r="AV70" s="302"/>
      <c r="AW70" s="302"/>
      <c r="AX70" s="302"/>
      <c r="AY70" s="302"/>
    </row>
    <row r="71" spans="3:51"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149"/>
      <c r="AA71" s="149"/>
      <c r="AB71" s="302"/>
      <c r="AC71" s="302"/>
      <c r="AD71" s="302"/>
      <c r="AE71" s="302"/>
      <c r="AF71" s="302"/>
      <c r="AG71" s="302"/>
      <c r="AH71" s="302"/>
      <c r="AI71" s="302"/>
      <c r="AJ71" s="302"/>
      <c r="AK71" s="302"/>
      <c r="AL71" s="302"/>
      <c r="AM71" s="302"/>
      <c r="AN71" s="302"/>
      <c r="AO71" s="302"/>
      <c r="AP71" s="302"/>
      <c r="AQ71" s="302"/>
      <c r="AR71" s="302"/>
      <c r="AS71" s="302"/>
      <c r="AT71" s="302"/>
      <c r="AU71" s="302"/>
      <c r="AV71" s="302"/>
      <c r="AW71" s="302"/>
      <c r="AX71" s="302"/>
      <c r="AY71" s="302"/>
    </row>
    <row r="72" spans="3:51"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149"/>
      <c r="AA72" s="149"/>
      <c r="AB72" s="302"/>
      <c r="AC72" s="302"/>
      <c r="AD72" s="302"/>
      <c r="AE72" s="302"/>
      <c r="AF72" s="302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  <c r="AS72" s="302"/>
      <c r="AT72" s="302"/>
      <c r="AU72" s="302"/>
      <c r="AV72" s="302"/>
      <c r="AW72" s="302"/>
      <c r="AX72" s="302"/>
      <c r="AY72" s="302"/>
    </row>
    <row r="73" spans="3:51"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149"/>
      <c r="AA73" s="149"/>
      <c r="AB73" s="302"/>
      <c r="AC73" s="302"/>
      <c r="AD73" s="302"/>
      <c r="AE73" s="302"/>
      <c r="AF73" s="302"/>
      <c r="AG73" s="302"/>
      <c r="AH73" s="302"/>
      <c r="AI73" s="302"/>
      <c r="AJ73" s="302"/>
      <c r="AK73" s="302"/>
      <c r="AL73" s="302"/>
      <c r="AM73" s="302"/>
      <c r="AN73" s="302"/>
      <c r="AO73" s="302"/>
      <c r="AP73" s="302"/>
      <c r="AQ73" s="302"/>
      <c r="AR73" s="302"/>
      <c r="AS73" s="302"/>
      <c r="AT73" s="302"/>
      <c r="AU73" s="302"/>
      <c r="AV73" s="302"/>
      <c r="AW73" s="302"/>
      <c r="AX73" s="302"/>
      <c r="AY73" s="302"/>
    </row>
    <row r="74" spans="3:51"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149"/>
      <c r="AA74" s="149"/>
      <c r="AB74" s="302"/>
      <c r="AC74" s="302"/>
      <c r="AD74" s="302"/>
      <c r="AE74" s="302"/>
      <c r="AF74" s="302"/>
      <c r="AG74" s="302"/>
      <c r="AH74" s="302"/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  <c r="AS74" s="302"/>
      <c r="AT74" s="302"/>
      <c r="AU74" s="302"/>
      <c r="AV74" s="302"/>
      <c r="AW74" s="302"/>
      <c r="AX74" s="302"/>
      <c r="AY74" s="302"/>
    </row>
    <row r="75" spans="3:51"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149"/>
      <c r="AA75" s="149"/>
      <c r="AB75" s="302"/>
      <c r="AC75" s="302"/>
      <c r="AD75" s="302"/>
      <c r="AE75" s="302"/>
      <c r="AF75" s="302"/>
      <c r="AG75" s="302"/>
      <c r="AH75" s="302"/>
      <c r="AI75" s="302"/>
      <c r="AJ75" s="302"/>
      <c r="AK75" s="302"/>
      <c r="AL75" s="302"/>
      <c r="AM75" s="302"/>
      <c r="AN75" s="302"/>
      <c r="AO75" s="302"/>
      <c r="AP75" s="302"/>
      <c r="AQ75" s="302"/>
      <c r="AR75" s="302"/>
      <c r="AS75" s="302"/>
      <c r="AT75" s="302"/>
      <c r="AU75" s="302"/>
      <c r="AV75" s="302"/>
      <c r="AW75" s="302"/>
      <c r="AX75" s="302"/>
      <c r="AY75" s="302"/>
    </row>
    <row r="76" spans="3:51"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149"/>
      <c r="AA76" s="149"/>
      <c r="AB76" s="302"/>
      <c r="AC76" s="302"/>
      <c r="AD76" s="302"/>
      <c r="AE76" s="302"/>
      <c r="AF76" s="302"/>
      <c r="AG76" s="302"/>
      <c r="AH76" s="302"/>
      <c r="AI76" s="302"/>
      <c r="AJ76" s="302"/>
      <c r="AK76" s="302"/>
      <c r="AL76" s="302"/>
      <c r="AM76" s="302"/>
      <c r="AN76" s="302"/>
      <c r="AO76" s="302"/>
      <c r="AP76" s="302"/>
      <c r="AQ76" s="302"/>
      <c r="AR76" s="302"/>
      <c r="AS76" s="302"/>
      <c r="AT76" s="302"/>
      <c r="AU76" s="302"/>
      <c r="AV76" s="302"/>
      <c r="AW76" s="302"/>
      <c r="AX76" s="302"/>
      <c r="AY76" s="302"/>
    </row>
    <row r="77" spans="3:51"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149"/>
      <c r="AA77" s="149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2"/>
      <c r="AX77" s="302"/>
      <c r="AY77" s="302"/>
    </row>
    <row r="78" spans="3:51"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149"/>
      <c r="AA78" s="149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2"/>
      <c r="AP78" s="302"/>
      <c r="AQ78" s="302"/>
      <c r="AR78" s="302"/>
      <c r="AS78" s="302"/>
      <c r="AT78" s="302"/>
      <c r="AU78" s="302"/>
      <c r="AV78" s="302"/>
      <c r="AW78" s="302"/>
      <c r="AX78" s="302"/>
      <c r="AY78" s="302"/>
    </row>
    <row r="79" spans="3:51"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149"/>
      <c r="AA79" s="149"/>
      <c r="AB79" s="302"/>
      <c r="AC79" s="302"/>
      <c r="AD79" s="302"/>
      <c r="AE79" s="302"/>
      <c r="AF79" s="302"/>
      <c r="AG79" s="302"/>
      <c r="AH79" s="302"/>
      <c r="AI79" s="302"/>
      <c r="AJ79" s="302"/>
      <c r="AK79" s="302"/>
      <c r="AL79" s="302"/>
      <c r="AM79" s="302"/>
      <c r="AN79" s="302"/>
      <c r="AO79" s="302"/>
      <c r="AP79" s="302"/>
      <c r="AQ79" s="302"/>
      <c r="AR79" s="302"/>
      <c r="AS79" s="302"/>
      <c r="AT79" s="302"/>
      <c r="AU79" s="302"/>
      <c r="AV79" s="302"/>
      <c r="AW79" s="302"/>
      <c r="AX79" s="302"/>
      <c r="AY79" s="302"/>
    </row>
    <row r="80" spans="3:51"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149"/>
      <c r="AA80" s="149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2"/>
      <c r="AP80" s="302"/>
      <c r="AQ80" s="302"/>
      <c r="AR80" s="302"/>
      <c r="AS80" s="302"/>
      <c r="AT80" s="302"/>
      <c r="AU80" s="302"/>
      <c r="AV80" s="302"/>
      <c r="AW80" s="302"/>
      <c r="AX80" s="302"/>
      <c r="AY80" s="302"/>
    </row>
    <row r="81" spans="3:51"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149"/>
      <c r="AA81" s="149"/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2"/>
      <c r="AM81" s="302"/>
      <c r="AN81" s="302"/>
      <c r="AO81" s="302"/>
      <c r="AP81" s="302"/>
      <c r="AQ81" s="302"/>
      <c r="AR81" s="302"/>
      <c r="AS81" s="302"/>
      <c r="AT81" s="302"/>
      <c r="AU81" s="302"/>
      <c r="AV81" s="302"/>
      <c r="AW81" s="302"/>
      <c r="AX81" s="302"/>
      <c r="AY81" s="302"/>
    </row>
    <row r="82" spans="3:51"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149"/>
      <c r="AA82" s="149"/>
      <c r="AB82" s="302"/>
      <c r="AC82" s="302"/>
      <c r="AD82" s="302"/>
      <c r="AE82" s="302"/>
      <c r="AF82" s="302"/>
      <c r="AG82" s="302"/>
      <c r="AH82" s="302"/>
      <c r="AI82" s="302"/>
      <c r="AJ82" s="302"/>
      <c r="AK82" s="302"/>
      <c r="AL82" s="302"/>
      <c r="AM82" s="302"/>
      <c r="AN82" s="302"/>
      <c r="AO82" s="302"/>
      <c r="AP82" s="302"/>
      <c r="AQ82" s="302"/>
      <c r="AR82" s="302"/>
      <c r="AS82" s="302"/>
      <c r="AT82" s="302"/>
      <c r="AU82" s="302"/>
      <c r="AV82" s="302"/>
      <c r="AW82" s="302"/>
      <c r="AX82" s="302"/>
      <c r="AY82" s="302"/>
    </row>
    <row r="83" spans="3:51"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149"/>
      <c r="AA83" s="149"/>
      <c r="AB83" s="302"/>
      <c r="AC83" s="302"/>
      <c r="AD83" s="302"/>
      <c r="AE83" s="302"/>
      <c r="AF83" s="302"/>
      <c r="AG83" s="302"/>
      <c r="AH83" s="302"/>
      <c r="AI83" s="302"/>
      <c r="AJ83" s="302"/>
      <c r="AK83" s="302"/>
      <c r="AL83" s="302"/>
      <c r="AM83" s="302"/>
      <c r="AN83" s="302"/>
      <c r="AO83" s="302"/>
      <c r="AP83" s="302"/>
      <c r="AQ83" s="302"/>
      <c r="AR83" s="302"/>
      <c r="AS83" s="302"/>
      <c r="AT83" s="302"/>
      <c r="AU83" s="302"/>
      <c r="AV83" s="302"/>
      <c r="AW83" s="302"/>
      <c r="AX83" s="302"/>
      <c r="AY83" s="302"/>
    </row>
    <row r="84" spans="3:51"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149"/>
      <c r="AA84" s="149"/>
      <c r="AB84" s="302"/>
      <c r="AC84" s="302"/>
      <c r="AD84" s="302"/>
      <c r="AE84" s="302"/>
      <c r="AF84" s="302"/>
      <c r="AG84" s="302"/>
      <c r="AH84" s="302"/>
      <c r="AI84" s="302"/>
      <c r="AJ84" s="302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</row>
    <row r="85" spans="3:51"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149"/>
      <c r="AA85" s="149"/>
      <c r="AB85" s="302"/>
      <c r="AC85" s="302"/>
      <c r="AD85" s="302"/>
      <c r="AE85" s="302"/>
      <c r="AF85" s="302"/>
      <c r="AG85" s="302"/>
      <c r="AH85" s="302"/>
      <c r="AI85" s="302"/>
      <c r="AJ85" s="302"/>
      <c r="AK85" s="302"/>
      <c r="AL85" s="302"/>
      <c r="AM85" s="302"/>
      <c r="AN85" s="302"/>
      <c r="AO85" s="302"/>
      <c r="AP85" s="302"/>
      <c r="AQ85" s="302"/>
      <c r="AR85" s="302"/>
      <c r="AS85" s="302"/>
      <c r="AT85" s="302"/>
      <c r="AU85" s="302"/>
      <c r="AV85" s="302"/>
      <c r="AW85" s="302"/>
      <c r="AX85" s="302"/>
      <c r="AY85" s="302"/>
    </row>
    <row r="86" spans="3:51"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149"/>
      <c r="AA86" s="149"/>
      <c r="AB86" s="302"/>
      <c r="AC86" s="302"/>
      <c r="AD86" s="302"/>
      <c r="AE86" s="302"/>
      <c r="AF86" s="302"/>
      <c r="AG86" s="302"/>
      <c r="AH86" s="302"/>
      <c r="AI86" s="302"/>
      <c r="AJ86" s="302"/>
      <c r="AK86" s="302"/>
      <c r="AL86" s="302"/>
      <c r="AM86" s="302"/>
      <c r="AN86" s="302"/>
      <c r="AO86" s="302"/>
      <c r="AP86" s="302"/>
      <c r="AQ86" s="302"/>
      <c r="AR86" s="302"/>
      <c r="AS86" s="302"/>
      <c r="AT86" s="302"/>
      <c r="AU86" s="302"/>
      <c r="AV86" s="302"/>
      <c r="AW86" s="302"/>
      <c r="AX86" s="302"/>
      <c r="AY86" s="302"/>
    </row>
    <row r="87" spans="3:51"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149"/>
      <c r="AA87" s="149"/>
      <c r="AB87" s="302"/>
      <c r="AC87" s="302"/>
      <c r="AD87" s="302"/>
      <c r="AE87" s="302"/>
      <c r="AF87" s="302"/>
      <c r="AG87" s="302"/>
      <c r="AH87" s="302"/>
      <c r="AI87" s="302"/>
      <c r="AJ87" s="302"/>
      <c r="AK87" s="302"/>
      <c r="AL87" s="302"/>
      <c r="AM87" s="302"/>
      <c r="AN87" s="302"/>
      <c r="AO87" s="302"/>
      <c r="AP87" s="302"/>
      <c r="AQ87" s="302"/>
      <c r="AR87" s="302"/>
      <c r="AS87" s="302"/>
      <c r="AT87" s="302"/>
      <c r="AU87" s="302"/>
      <c r="AV87" s="302"/>
      <c r="AW87" s="302"/>
      <c r="AX87" s="302"/>
      <c r="AY87" s="302"/>
    </row>
    <row r="88" spans="3:51"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149"/>
      <c r="AA88" s="149"/>
      <c r="AB88" s="302"/>
      <c r="AC88" s="302"/>
      <c r="AD88" s="302"/>
      <c r="AE88" s="302"/>
      <c r="AF88" s="302"/>
      <c r="AG88" s="302"/>
      <c r="AH88" s="302"/>
      <c r="AI88" s="302"/>
      <c r="AJ88" s="302"/>
      <c r="AK88" s="302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2"/>
      <c r="AX88" s="302"/>
      <c r="AY88" s="302"/>
    </row>
    <row r="89" spans="3:51"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149"/>
      <c r="AA89" s="149"/>
      <c r="AB89" s="302"/>
      <c r="AC89" s="302"/>
      <c r="AD89" s="302"/>
      <c r="AE89" s="302"/>
      <c r="AF89" s="302"/>
      <c r="AG89" s="302"/>
      <c r="AH89" s="302"/>
      <c r="AI89" s="302"/>
      <c r="AJ89" s="302"/>
      <c r="AK89" s="302"/>
      <c r="AL89" s="302"/>
      <c r="AM89" s="302"/>
      <c r="AN89" s="302"/>
      <c r="AO89" s="302"/>
      <c r="AP89" s="302"/>
      <c r="AQ89" s="302"/>
      <c r="AR89" s="302"/>
      <c r="AS89" s="302"/>
      <c r="AT89" s="302"/>
      <c r="AU89" s="302"/>
      <c r="AV89" s="302"/>
      <c r="AW89" s="302"/>
      <c r="AX89" s="302"/>
      <c r="AY89" s="302"/>
    </row>
    <row r="90" spans="3:51"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149"/>
      <c r="AA90" s="149"/>
      <c r="AB90" s="302"/>
      <c r="AC90" s="302"/>
      <c r="AD90" s="302"/>
      <c r="AE90" s="302"/>
      <c r="AF90" s="302"/>
      <c r="AG90" s="302"/>
      <c r="AH90" s="302"/>
      <c r="AI90" s="302"/>
      <c r="AJ90" s="302"/>
      <c r="AK90" s="302"/>
      <c r="AL90" s="302"/>
      <c r="AM90" s="302"/>
      <c r="AN90" s="302"/>
      <c r="AO90" s="302"/>
      <c r="AP90" s="302"/>
      <c r="AQ90" s="302"/>
      <c r="AR90" s="302"/>
      <c r="AS90" s="302"/>
      <c r="AT90" s="302"/>
      <c r="AU90" s="302"/>
      <c r="AV90" s="302"/>
      <c r="AW90" s="302"/>
      <c r="AX90" s="302"/>
      <c r="AY90" s="302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18" zoomScale="75" zoomScaleNormal="75" workbookViewId="0">
      <selection activeCell="F46" sqref="F46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CIPCO</v>
      </c>
      <c r="Y2" s="6"/>
      <c r="Z2" s="6"/>
    </row>
    <row r="3" spans="1:35">
      <c r="Y3" s="6"/>
      <c r="Z3" s="6"/>
    </row>
    <row r="4" spans="1:35" ht="18.75">
      <c r="A4" s="60" t="s">
        <v>369</v>
      </c>
      <c r="Y4" s="6"/>
      <c r="Z4" s="6"/>
    </row>
    <row r="5" spans="1:35">
      <c r="Y5" s="6"/>
      <c r="Z5" s="6"/>
    </row>
    <row r="6" spans="1:35">
      <c r="B6" s="208">
        <v>0</v>
      </c>
      <c r="C6" s="208">
        <f>'Price_Technical Assumption'!D7</f>
        <v>0.66666666666666663</v>
      </c>
      <c r="D6" s="208">
        <f>'Price_Technical Assumption'!E7</f>
        <v>1.6666666666666665</v>
      </c>
      <c r="E6" s="208">
        <f>'Price_Technical Assumption'!F7</f>
        <v>2.6666666666666665</v>
      </c>
      <c r="F6" s="208">
        <f>'Price_Technical Assumption'!G7</f>
        <v>3.6666666666666665</v>
      </c>
      <c r="G6" s="208">
        <f>'Price_Technical Assumption'!H7</f>
        <v>4.6666666666666661</v>
      </c>
      <c r="H6" s="208">
        <f>'Price_Technical Assumption'!I7</f>
        <v>5.6666666666666661</v>
      </c>
      <c r="I6" s="208">
        <f>'Price_Technical Assumption'!J7</f>
        <v>6.6666666666666661</v>
      </c>
      <c r="J6" s="208">
        <f>'Price_Technical Assumption'!K7</f>
        <v>7.6666666666666661</v>
      </c>
      <c r="K6" s="208">
        <f>'Price_Technical Assumption'!L7</f>
        <v>8.6666666666666661</v>
      </c>
      <c r="L6" s="208">
        <f>'Price_Technical Assumption'!M7</f>
        <v>9.6666666666666661</v>
      </c>
      <c r="M6" s="208">
        <f>'Price_Technical Assumption'!N7</f>
        <v>10.666666666666666</v>
      </c>
      <c r="N6" s="208">
        <f>'Price_Technical Assumption'!O7</f>
        <v>11.666666666666666</v>
      </c>
      <c r="O6" s="208">
        <f>'Price_Technical Assumption'!P7</f>
        <v>12.666666666666666</v>
      </c>
      <c r="P6" s="208">
        <f>'Price_Technical Assumption'!Q7</f>
        <v>13.666666666666666</v>
      </c>
      <c r="Q6" s="208">
        <f>'Price_Technical Assumption'!R7</f>
        <v>14.666666666666666</v>
      </c>
      <c r="R6" s="208">
        <f>'Price_Technical Assumption'!S7</f>
        <v>15.666666666666666</v>
      </c>
      <c r="S6" s="208">
        <f>'Price_Technical Assumption'!T7</f>
        <v>16.666666666666664</v>
      </c>
      <c r="T6" s="208">
        <f>'Price_Technical Assumption'!U7</f>
        <v>17.666666666666664</v>
      </c>
      <c r="U6" s="208">
        <f>'Price_Technical Assumption'!V7</f>
        <v>18.666666666666664</v>
      </c>
      <c r="V6" s="208">
        <f>'Price_Technical Assumption'!W7</f>
        <v>19.666666666666664</v>
      </c>
      <c r="W6" s="208">
        <f>'Price_Technical Assumption'!X7</f>
        <v>20.666666666666664</v>
      </c>
      <c r="X6" s="208">
        <f>'Price_Technical Assumption'!Y7</f>
        <v>21.666666666666664</v>
      </c>
      <c r="Y6" s="208">
        <f>'Price_Technical Assumption'!Z7</f>
        <v>22.666666666666664</v>
      </c>
      <c r="Z6" s="208">
        <f>'Price_Technical Assumption'!AA7</f>
        <v>23.666666666666664</v>
      </c>
      <c r="AA6" s="208">
        <f>'Price_Technical Assumption'!AB7</f>
        <v>24.666666666666664</v>
      </c>
      <c r="AB6" s="208">
        <f>'Price_Technical Assumption'!AC7</f>
        <v>25.666666666666664</v>
      </c>
      <c r="AC6" s="208">
        <f>'Price_Technical Assumption'!AD7</f>
        <v>26.666666666666664</v>
      </c>
      <c r="AD6" s="208">
        <f>'Price_Technical Assumption'!AE7</f>
        <v>27.666666666666664</v>
      </c>
      <c r="AE6" s="208">
        <f>'Price_Technical Assumption'!AF7</f>
        <v>28.666666666666664</v>
      </c>
      <c r="AF6" s="208">
        <f>'Price_Technical Assumption'!AG7</f>
        <v>29.666666666666664</v>
      </c>
      <c r="AG6" s="208">
        <f>'Price_Technical Assumption'!AH7</f>
        <v>30.666666666666664</v>
      </c>
    </row>
    <row r="7" spans="1:35" ht="13.5" thickBot="1">
      <c r="A7" s="121" t="s">
        <v>39</v>
      </c>
      <c r="B7" s="7" t="s">
        <v>243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6"/>
      <c r="B8" s="148">
        <f>Assumptions!G47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6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1"/>
      <c r="J10" s="161"/>
      <c r="K10" s="162"/>
      <c r="L10" s="162"/>
      <c r="M10" s="161"/>
      <c r="N10" s="16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6688</v>
      </c>
      <c r="D11" s="18">
        <f>IS!D32</f>
        <v>10032</v>
      </c>
      <c r="E11" s="18">
        <f>IS!E32</f>
        <v>10032</v>
      </c>
      <c r="F11" s="18">
        <f>IS!F32</f>
        <v>10032</v>
      </c>
      <c r="G11" s="18">
        <f>IS!G32</f>
        <v>10032</v>
      </c>
      <c r="H11" s="18">
        <f>IS!H32</f>
        <v>10032</v>
      </c>
      <c r="I11" s="18">
        <f>IS!I32</f>
        <v>10032</v>
      </c>
      <c r="J11" s="18">
        <f>IS!J32</f>
        <v>10032</v>
      </c>
      <c r="K11" s="18">
        <f>IS!K32</f>
        <v>10032</v>
      </c>
      <c r="L11" s="18">
        <f>IS!L32</f>
        <v>10032</v>
      </c>
      <c r="M11" s="18">
        <f>IS!M32</f>
        <v>10032</v>
      </c>
      <c r="N11" s="18">
        <f>IS!N32</f>
        <v>10032</v>
      </c>
      <c r="O11" s="18">
        <f>IS!O32</f>
        <v>10032</v>
      </c>
      <c r="P11" s="18">
        <f>IS!P32</f>
        <v>10032</v>
      </c>
      <c r="Q11" s="18">
        <f>IS!Q32</f>
        <v>10032</v>
      </c>
      <c r="R11" s="18">
        <f>IS!R32</f>
        <v>10032</v>
      </c>
      <c r="S11" s="18">
        <f>IS!S32</f>
        <v>10032</v>
      </c>
      <c r="T11" s="18">
        <f>IS!T32</f>
        <v>10032</v>
      </c>
      <c r="U11" s="18">
        <f>IS!U32</f>
        <v>10032</v>
      </c>
      <c r="V11" s="18">
        <f>IS!V32</f>
        <v>10032</v>
      </c>
      <c r="W11" s="18">
        <f>IS!W32</f>
        <v>4005.1510323095099</v>
      </c>
      <c r="X11" s="18">
        <f>IS!X32</f>
        <v>0</v>
      </c>
      <c r="Y11" s="18">
        <f>IS!Y32</f>
        <v>0</v>
      </c>
      <c r="Z11" s="18">
        <f>IS!Z32</f>
        <v>0</v>
      </c>
      <c r="AA11" s="18">
        <f>IS!AA32</f>
        <v>0</v>
      </c>
      <c r="AB11" s="18">
        <f>IS!AB32</f>
        <v>0</v>
      </c>
      <c r="AC11" s="18">
        <f>IS!AC32</f>
        <v>0</v>
      </c>
      <c r="AD11" s="18">
        <f>IS!AD32</f>
        <v>0</v>
      </c>
      <c r="AE11" s="18">
        <f>IS!AE32</f>
        <v>0</v>
      </c>
      <c r="AF11" s="18">
        <f>IS!AF32</f>
        <v>0</v>
      </c>
      <c r="AG11" s="18">
        <f>IS!AG32</f>
        <v>0</v>
      </c>
    </row>
    <row r="12" spans="1:35">
      <c r="A12" s="45" t="s">
        <v>80</v>
      </c>
      <c r="B12" s="439">
        <v>0</v>
      </c>
      <c r="C12" s="439">
        <f>-(Debt!B36)</f>
        <v>-2681.4943873071647</v>
      </c>
      <c r="D12" s="439">
        <f>-(Debt!B44+Debt!C27+Debt!C36)</f>
        <v>-6329.2278388627474</v>
      </c>
      <c r="E12" s="439">
        <f>-(Debt!C44+Debt!D27+Debt!D36)</f>
        <v>-6217.4439125642857</v>
      </c>
      <c r="F12" s="439">
        <f>-(Debt!D44+Debt!E27+Debt!E36)</f>
        <v>-6099.7458654287675</v>
      </c>
      <c r="G12" s="439">
        <f>-(Debt!E44+Debt!F27+Debt!F36)</f>
        <v>-5958.5519665009924</v>
      </c>
      <c r="H12" s="439">
        <f>-(Debt!F44+Debt!G27+Debt!G36)</f>
        <v>-5819.6417282321336</v>
      </c>
      <c r="I12" s="439">
        <f>-(Debt!G44+Debt!H27+Debt!H36)</f>
        <v>-5664.8235929648436</v>
      </c>
      <c r="J12" s="439">
        <f>-(Debt!H44+Debt!I27+Debt!I36)</f>
        <v>-5501.6165067829015</v>
      </c>
      <c r="K12" s="439">
        <f>-(Debt!I44+Debt!J27+Debt!J36)</f>
        <v>-5312.4795728493764</v>
      </c>
      <c r="L12" s="439">
        <f>-(Debt!J44+Debt!K27+Debt!K36)</f>
        <v>-5120.4007491452994</v>
      </c>
      <c r="M12" s="439">
        <f>-(Debt!K44+Debt!L27+Debt!L36)</f>
        <v>-4908.524558382237</v>
      </c>
      <c r="N12" s="439">
        <f>-(Debt!L44+Debt!M27+Debt!M36)</f>
        <v>-4683.0352124373167</v>
      </c>
      <c r="O12" s="439">
        <f>-(Debt!M44+Debt!N27+Debt!N36)</f>
        <v>-4428.2849273405718</v>
      </c>
      <c r="P12" s="439">
        <f>-(Debt!N44+Debt!O27+Debt!O36)</f>
        <v>-4163.441226181526</v>
      </c>
      <c r="Q12" s="439">
        <f>-(Debt!O44+Debt!P27+Debt!P36)</f>
        <v>-3873.477149837473</v>
      </c>
      <c r="R12" s="439">
        <f>-(Debt!P44+Debt!Q27+Debt!Q36)</f>
        <v>-3562.750234335746</v>
      </c>
      <c r="S12" s="439">
        <f>-(Debt!Q44+Debt!R27+Debt!R36)</f>
        <v>-3218.2035512773014</v>
      </c>
      <c r="T12" s="439">
        <f>-(Debt!R44+Debt!S27+Debt!S36)</f>
        <v>-2853.7760950174634</v>
      </c>
      <c r="U12" s="439">
        <f>-(Debt!S44+Debt!T27+Debt!T36)</f>
        <v>-2456.943359699183</v>
      </c>
      <c r="V12" s="439">
        <f>-(Debt!T44+Debt!U27+Debt!U36)</f>
        <v>-2029.5629494205953</v>
      </c>
      <c r="W12" s="439">
        <f>-(Debt!U44+Debt!V27+Debt!V36)</f>
        <v>-1631.9184688494875</v>
      </c>
      <c r="X12" s="439">
        <f>-(Debt!V44+Debt!W27+Debt!W36)</f>
        <v>-1490.4458256256635</v>
      </c>
      <c r="Y12" s="439">
        <f>-(Debt!W44+Debt!X27+Debt!X36)</f>
        <v>-1564.7926373403347</v>
      </c>
      <c r="Z12" s="439">
        <f>-(Debt!X44+Debt!Y27+Debt!Y36)</f>
        <v>-1693.655450933388</v>
      </c>
      <c r="AA12" s="439">
        <f>-(Debt!Y44+Debt!Z27+Debt!Z36)</f>
        <v>-1829.4103363909583</v>
      </c>
      <c r="AB12" s="439">
        <f>-(Debt!Z44+Debt!AA27+Debt!AA36)</f>
        <v>-1979.9618236890249</v>
      </c>
      <c r="AC12" s="439">
        <f>-(Debt!AA44+Debt!AB27+Debt!AB36)</f>
        <v>-2141.5266847231874</v>
      </c>
      <c r="AD12" s="439">
        <f>-(Debt!AB44+Debt!AC27+Debt!AC36)</f>
        <v>-2317.8843358219838</v>
      </c>
      <c r="AE12" s="439">
        <f>-(Debt!AC44+Debt!AD27+Debt!AD36)</f>
        <v>-2503.674262775542</v>
      </c>
      <c r="AF12" s="439">
        <f>-(Debt!AD44+Debt!AE27+Debt!AE36)</f>
        <v>-2709.7143602171891</v>
      </c>
      <c r="AG12" s="439">
        <f>-(Debt!AE44+Debt!AF27+Debt!AF36)</f>
        <v>-1678.3313911314513</v>
      </c>
      <c r="AH12" s="13"/>
      <c r="AI12" s="13"/>
    </row>
    <row r="13" spans="1:35">
      <c r="A13" s="45" t="s">
        <v>341</v>
      </c>
      <c r="B13" s="64">
        <f>SUM(B11:B12)</f>
        <v>0</v>
      </c>
      <c r="C13" s="64">
        <f t="shared" ref="C13:AG13" si="0">SUM(C11:C12)</f>
        <v>4006.5056126928353</v>
      </c>
      <c r="D13" s="64">
        <f t="shared" si="0"/>
        <v>3702.7721611372526</v>
      </c>
      <c r="E13" s="64">
        <f t="shared" si="0"/>
        <v>3814.5560874357143</v>
      </c>
      <c r="F13" s="64">
        <f t="shared" si="0"/>
        <v>3932.2541345712325</v>
      </c>
      <c r="G13" s="64">
        <f t="shared" si="0"/>
        <v>4073.4480334990076</v>
      </c>
      <c r="H13" s="64">
        <f t="shared" si="0"/>
        <v>4212.3582717678664</v>
      </c>
      <c r="I13" s="64">
        <f t="shared" si="0"/>
        <v>4367.1764070351564</v>
      </c>
      <c r="J13" s="64">
        <f t="shared" si="0"/>
        <v>4530.3834932170985</v>
      </c>
      <c r="K13" s="64">
        <f t="shared" si="0"/>
        <v>4719.5204271506236</v>
      </c>
      <c r="L13" s="64">
        <f t="shared" si="0"/>
        <v>4911.5992508547006</v>
      </c>
      <c r="M13" s="64">
        <f t="shared" si="0"/>
        <v>5123.475441617763</v>
      </c>
      <c r="N13" s="64">
        <f t="shared" si="0"/>
        <v>5348.9647875626833</v>
      </c>
      <c r="O13" s="64">
        <f t="shared" si="0"/>
        <v>5603.7150726594282</v>
      </c>
      <c r="P13" s="64">
        <f t="shared" si="0"/>
        <v>5868.558773818474</v>
      </c>
      <c r="Q13" s="64">
        <f t="shared" si="0"/>
        <v>6158.522850162527</v>
      </c>
      <c r="R13" s="64">
        <f t="shared" si="0"/>
        <v>6469.2497656642536</v>
      </c>
      <c r="S13" s="64">
        <f t="shared" si="0"/>
        <v>6813.7964487226982</v>
      </c>
      <c r="T13" s="64">
        <f t="shared" si="0"/>
        <v>7178.2239049825366</v>
      </c>
      <c r="U13" s="64">
        <f t="shared" si="0"/>
        <v>7575.056640300817</v>
      </c>
      <c r="V13" s="64">
        <f t="shared" si="0"/>
        <v>8002.437050579405</v>
      </c>
      <c r="W13" s="64">
        <f t="shared" si="0"/>
        <v>2373.2325634600224</v>
      </c>
      <c r="X13" s="64">
        <f t="shared" si="0"/>
        <v>-1490.4458256256635</v>
      </c>
      <c r="Y13" s="64">
        <f t="shared" si="0"/>
        <v>-1564.7926373403347</v>
      </c>
      <c r="Z13" s="64">
        <f t="shared" si="0"/>
        <v>-1693.655450933388</v>
      </c>
      <c r="AA13" s="64">
        <f t="shared" si="0"/>
        <v>-1829.4103363909583</v>
      </c>
      <c r="AB13" s="64">
        <f t="shared" si="0"/>
        <v>-1979.9618236890249</v>
      </c>
      <c r="AC13" s="64">
        <f t="shared" si="0"/>
        <v>-2141.5266847231874</v>
      </c>
      <c r="AD13" s="64">
        <f t="shared" si="0"/>
        <v>-2317.8843358219838</v>
      </c>
      <c r="AE13" s="64">
        <f t="shared" si="0"/>
        <v>-2503.674262775542</v>
      </c>
      <c r="AF13" s="64">
        <f t="shared" si="0"/>
        <v>-2709.7143602171891</v>
      </c>
      <c r="AG13" s="64">
        <f t="shared" si="0"/>
        <v>-1678.3313911314513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342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-447.55312548769041</v>
      </c>
      <c r="M15" s="18">
        <f>-Taxes!L24-Taxes!L41</f>
        <v>-758.24483830124166</v>
      </c>
      <c r="N15" s="18">
        <f>-Taxes!M24-Taxes!M41</f>
        <v>-848.27054481335313</v>
      </c>
      <c r="O15" s="18">
        <f>-Taxes!N24-Taxes!N41</f>
        <v>-950.71511137881896</v>
      </c>
      <c r="P15" s="18">
        <f>-Taxes!O24-Taxes!O41</f>
        <v>-1056.6159054704649</v>
      </c>
      <c r="Q15" s="18">
        <f>-Taxes!P24-Taxes!P41</f>
        <v>-1175.7708826288558</v>
      </c>
      <c r="R15" s="18">
        <f>-Taxes!Q24-Taxes!Q41</f>
        <v>-1947.1690796304763</v>
      </c>
      <c r="S15" s="18">
        <f>-Taxes!R24-Taxes!R41</f>
        <v>-2729.4109231057496</v>
      </c>
      <c r="T15" s="18">
        <f>-Taxes!S24-Taxes!S41</f>
        <v>-2877.3496566567078</v>
      </c>
      <c r="U15" s="18">
        <f>-Taxes!T24-Taxes!T41</f>
        <v>-3037.4273505568344</v>
      </c>
      <c r="V15" s="18">
        <f>-Taxes!U24-Taxes!U41</f>
        <v>-3210.3228505375664</v>
      </c>
      <c r="W15" s="18">
        <f>-Taxes!V24-Taxes!V41</f>
        <v>-958.66577489367046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-544.43247271806467</v>
      </c>
      <c r="D16" s="23">
        <f>-Debt!C48</f>
        <v>-1382.4385571710154</v>
      </c>
      <c r="E16" s="23">
        <f>-Debt!D48</f>
        <v>-1499.4791643587814</v>
      </c>
      <c r="F16" s="23">
        <f>-Debt!E48</f>
        <v>-1622.4338923835749</v>
      </c>
      <c r="G16" s="23">
        <f>-Debt!F48</f>
        <v>-1753.1144295327831</v>
      </c>
      <c r="H16" s="23">
        <f>-Debt!G48</f>
        <v>-1897.281348690929</v>
      </c>
      <c r="I16" s="23">
        <f>-Debt!H48</f>
        <v>-2052.0994839582272</v>
      </c>
      <c r="J16" s="23">
        <f>-Debt!I48</f>
        <v>-2220.5632510294527</v>
      </c>
      <c r="K16" s="23">
        <f>-Debt!J48</f>
        <v>-2399.1868231844055</v>
      </c>
      <c r="L16" s="23">
        <f>-Debt!K48</f>
        <v>-2596.5223277777841</v>
      </c>
      <c r="M16" s="23">
        <f>-Debt!L48</f>
        <v>-2808.3985185408383</v>
      </c>
      <c r="N16" s="23">
        <f>-Debt!M48</f>
        <v>-3039.1445453750493</v>
      </c>
      <c r="O16" s="23">
        <f>-Debt!N48</f>
        <v>-3283.3814686932237</v>
      </c>
      <c r="P16" s="23">
        <f>-Debt!O48</f>
        <v>-3553.4818507415548</v>
      </c>
      <c r="Q16" s="23">
        <f>-Debt!P48</f>
        <v>-3843.4459270856023</v>
      </c>
      <c r="R16" s="23">
        <f>-Debt!Q48</f>
        <v>-4159.4295234766178</v>
      </c>
      <c r="S16" s="23">
        <f>-Debt!R48</f>
        <v>-4493.4628447564901</v>
      </c>
      <c r="T16" s="23">
        <f>-Debt!S48</f>
        <v>-4863.1469819056147</v>
      </c>
      <c r="U16" s="23">
        <f>-Debt!T48</f>
        <v>-5259.9797172238941</v>
      </c>
      <c r="V16" s="23">
        <f>-Debt!U48</f>
        <v>-5692.6168083917728</v>
      </c>
      <c r="W16" s="23">
        <f>-Debt!V48</f>
        <v>-2599.544308328248</v>
      </c>
      <c r="X16" s="23">
        <f>-Debt!W48</f>
        <v>722.33466874438454</v>
      </c>
      <c r="Y16" s="23">
        <f>-Debt!X48</f>
        <v>1564.7926373403316</v>
      </c>
      <c r="Z16" s="23">
        <f>-Debt!Y48</f>
        <v>1693.655450933391</v>
      </c>
      <c r="AA16" s="23">
        <f>-Debt!Z48</f>
        <v>1829.4103363909599</v>
      </c>
      <c r="AB16" s="23">
        <f>-Debt!AA48</f>
        <v>1979.9618236890237</v>
      </c>
      <c r="AC16" s="23">
        <f>-Debt!AB48</f>
        <v>2141.5266847231833</v>
      </c>
      <c r="AD16" s="23">
        <f>-Debt!AC48</f>
        <v>2317.8843358219856</v>
      </c>
      <c r="AE16" s="23">
        <f>-Debt!AD48</f>
        <v>2503.6742627755448</v>
      </c>
      <c r="AF16" s="23">
        <f>-Debt!AE48</f>
        <v>2709.7143602171927</v>
      </c>
      <c r="AG16" s="23">
        <f>-Debt!AF48</f>
        <v>1678.3313911314544</v>
      </c>
    </row>
    <row r="17" spans="1:33">
      <c r="A17" s="45" t="s">
        <v>343</v>
      </c>
      <c r="B17" s="440">
        <v>0</v>
      </c>
      <c r="C17" s="440">
        <v>0</v>
      </c>
      <c r="D17" s="440">
        <v>0</v>
      </c>
      <c r="E17" s="440">
        <v>0</v>
      </c>
      <c r="F17" s="440">
        <v>0</v>
      </c>
      <c r="G17" s="440">
        <v>0</v>
      </c>
      <c r="H17" s="440">
        <v>0</v>
      </c>
      <c r="I17" s="440">
        <v>0</v>
      </c>
      <c r="J17" s="440">
        <v>0</v>
      </c>
      <c r="K17" s="440">
        <v>0</v>
      </c>
      <c r="L17" s="440">
        <v>0</v>
      </c>
      <c r="M17" s="440">
        <v>0</v>
      </c>
      <c r="N17" s="440">
        <v>0</v>
      </c>
      <c r="O17" s="440">
        <v>0</v>
      </c>
      <c r="P17" s="440">
        <v>0</v>
      </c>
      <c r="Q17" s="440">
        <v>0</v>
      </c>
      <c r="R17" s="440">
        <v>0</v>
      </c>
      <c r="S17" s="440">
        <v>0</v>
      </c>
      <c r="T17" s="440">
        <v>0</v>
      </c>
      <c r="U17" s="440">
        <v>0</v>
      </c>
      <c r="V17" s="440">
        <v>0</v>
      </c>
      <c r="W17" s="440">
        <v>0</v>
      </c>
      <c r="X17" s="440">
        <v>0</v>
      </c>
      <c r="Y17" s="440">
        <v>0</v>
      </c>
      <c r="Z17" s="440">
        <v>0</v>
      </c>
      <c r="AA17" s="440">
        <v>0</v>
      </c>
      <c r="AB17" s="440">
        <v>0</v>
      </c>
      <c r="AC17" s="440">
        <v>0</v>
      </c>
      <c r="AD17" s="440">
        <v>0</v>
      </c>
      <c r="AE17" s="440">
        <v>0</v>
      </c>
      <c r="AF17" s="440">
        <v>0</v>
      </c>
      <c r="AG17" s="440">
        <v>0</v>
      </c>
    </row>
    <row r="18" spans="1:33">
      <c r="A18" s="45" t="s">
        <v>344</v>
      </c>
      <c r="B18" s="64">
        <f>B13+B17+B16+B15</f>
        <v>0</v>
      </c>
      <c r="C18" s="64">
        <f t="shared" ref="C18:AG18" si="1">C13+C17+C16+C15</f>
        <v>3462.0731399747706</v>
      </c>
      <c r="D18" s="64">
        <f t="shared" si="1"/>
        <v>2320.3336039662372</v>
      </c>
      <c r="E18" s="64">
        <f t="shared" si="1"/>
        <v>2315.0769230769329</v>
      </c>
      <c r="F18" s="64">
        <f t="shared" si="1"/>
        <v>2309.8202421876576</v>
      </c>
      <c r="G18" s="64">
        <f t="shared" si="1"/>
        <v>2320.3336039662245</v>
      </c>
      <c r="H18" s="64">
        <f t="shared" si="1"/>
        <v>2315.0769230769374</v>
      </c>
      <c r="I18" s="64">
        <f t="shared" si="1"/>
        <v>2315.0769230769292</v>
      </c>
      <c r="J18" s="64">
        <f t="shared" si="1"/>
        <v>2309.8202421876458</v>
      </c>
      <c r="K18" s="64">
        <f t="shared" si="1"/>
        <v>2320.3336039662181</v>
      </c>
      <c r="L18" s="64">
        <f t="shared" si="1"/>
        <v>1867.523797589226</v>
      </c>
      <c r="M18" s="64">
        <f t="shared" si="1"/>
        <v>1556.8320847756831</v>
      </c>
      <c r="N18" s="64">
        <f t="shared" si="1"/>
        <v>1461.5496973742809</v>
      </c>
      <c r="O18" s="64">
        <f t="shared" si="1"/>
        <v>1369.6184925873854</v>
      </c>
      <c r="P18" s="64">
        <f t="shared" si="1"/>
        <v>1258.4610176064543</v>
      </c>
      <c r="Q18" s="64">
        <f t="shared" si="1"/>
        <v>1139.3060404480689</v>
      </c>
      <c r="R18" s="64">
        <f t="shared" si="1"/>
        <v>362.65116255715952</v>
      </c>
      <c r="S18" s="64">
        <f t="shared" si="1"/>
        <v>-409.07731913954149</v>
      </c>
      <c r="T18" s="64">
        <f t="shared" si="1"/>
        <v>-562.27273357978584</v>
      </c>
      <c r="U18" s="64">
        <f t="shared" si="1"/>
        <v>-722.35042747991156</v>
      </c>
      <c r="V18" s="64">
        <f t="shared" si="1"/>
        <v>-900.50260834993423</v>
      </c>
      <c r="W18" s="64">
        <f t="shared" si="1"/>
        <v>-1184.977519761896</v>
      </c>
      <c r="X18" s="64">
        <f t="shared" si="1"/>
        <v>-768.11115688127893</v>
      </c>
      <c r="Y18" s="64">
        <f t="shared" si="1"/>
        <v>-3.1832314562052488E-12</v>
      </c>
      <c r="Z18" s="64">
        <f t="shared" si="1"/>
        <v>2.9558577807620168E-12</v>
      </c>
      <c r="AA18" s="64">
        <f t="shared" si="1"/>
        <v>1.5916157281026244E-12</v>
      </c>
      <c r="AB18" s="64">
        <f t="shared" si="1"/>
        <v>-1.1368683772161603E-12</v>
      </c>
      <c r="AC18" s="64">
        <f t="shared" si="1"/>
        <v>-4.0927261579781771E-12</v>
      </c>
      <c r="AD18" s="64">
        <f t="shared" si="1"/>
        <v>1.8189894035458565E-12</v>
      </c>
      <c r="AE18" s="64">
        <f t="shared" si="1"/>
        <v>2.7284841053187847E-12</v>
      </c>
      <c r="AF18" s="64">
        <f t="shared" si="1"/>
        <v>3.637978807091713E-12</v>
      </c>
      <c r="AG18" s="64">
        <f t="shared" si="1"/>
        <v>3.1832314562052488E-12</v>
      </c>
    </row>
    <row r="19" spans="1:33">
      <c r="A19" s="329"/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</row>
    <row r="20" spans="1:33">
      <c r="A20" s="441" t="s">
        <v>394</v>
      </c>
      <c r="B20" s="511">
        <v>1</v>
      </c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93"/>
      <c r="AB20" s="393"/>
      <c r="AC20" s="393"/>
      <c r="AD20" s="393"/>
      <c r="AE20" s="393"/>
      <c r="AF20" s="393"/>
      <c r="AG20" s="393"/>
    </row>
    <row r="21" spans="1:33">
      <c r="B21" s="64">
        <f>$B$20*B18</f>
        <v>0</v>
      </c>
      <c r="C21" s="64">
        <f t="shared" ref="C21:AG21" si="2">$B$20*C18</f>
        <v>3462.0731399747706</v>
      </c>
      <c r="D21" s="64">
        <f t="shared" si="2"/>
        <v>2320.3336039662372</v>
      </c>
      <c r="E21" s="64">
        <f t="shared" si="2"/>
        <v>2315.0769230769329</v>
      </c>
      <c r="F21" s="64">
        <f t="shared" si="2"/>
        <v>2309.8202421876576</v>
      </c>
      <c r="G21" s="64">
        <f t="shared" si="2"/>
        <v>2320.3336039662245</v>
      </c>
      <c r="H21" s="64">
        <f t="shared" si="2"/>
        <v>2315.0769230769374</v>
      </c>
      <c r="I21" s="64">
        <f t="shared" si="2"/>
        <v>2315.0769230769292</v>
      </c>
      <c r="J21" s="64">
        <f t="shared" si="2"/>
        <v>2309.8202421876458</v>
      </c>
      <c r="K21" s="64">
        <f t="shared" si="2"/>
        <v>2320.3336039662181</v>
      </c>
      <c r="L21" s="64">
        <f t="shared" si="2"/>
        <v>1867.523797589226</v>
      </c>
      <c r="M21" s="64">
        <f t="shared" si="2"/>
        <v>1556.8320847756831</v>
      </c>
      <c r="N21" s="64">
        <f t="shared" si="2"/>
        <v>1461.5496973742809</v>
      </c>
      <c r="O21" s="64">
        <f t="shared" si="2"/>
        <v>1369.6184925873854</v>
      </c>
      <c r="P21" s="64">
        <f t="shared" si="2"/>
        <v>1258.4610176064543</v>
      </c>
      <c r="Q21" s="64">
        <f t="shared" si="2"/>
        <v>1139.3060404480689</v>
      </c>
      <c r="R21" s="64">
        <f t="shared" si="2"/>
        <v>362.65116255715952</v>
      </c>
      <c r="S21" s="64">
        <f t="shared" si="2"/>
        <v>-409.07731913954149</v>
      </c>
      <c r="T21" s="64">
        <f t="shared" si="2"/>
        <v>-562.27273357978584</v>
      </c>
      <c r="U21" s="64">
        <f t="shared" si="2"/>
        <v>-722.35042747991156</v>
      </c>
      <c r="V21" s="64">
        <f t="shared" si="2"/>
        <v>-900.50260834993423</v>
      </c>
      <c r="W21" s="64">
        <f t="shared" si="2"/>
        <v>-1184.977519761896</v>
      </c>
      <c r="X21" s="64">
        <f t="shared" si="2"/>
        <v>-768.11115688127893</v>
      </c>
      <c r="Y21" s="64">
        <f t="shared" si="2"/>
        <v>-3.1832314562052488E-12</v>
      </c>
      <c r="Z21" s="64">
        <f t="shared" si="2"/>
        <v>2.9558577807620168E-12</v>
      </c>
      <c r="AA21" s="64">
        <f t="shared" si="2"/>
        <v>1.5916157281026244E-12</v>
      </c>
      <c r="AB21" s="64">
        <f t="shared" si="2"/>
        <v>-1.1368683772161603E-12</v>
      </c>
      <c r="AC21" s="64">
        <f t="shared" si="2"/>
        <v>-4.0927261579781771E-12</v>
      </c>
      <c r="AD21" s="64">
        <f t="shared" si="2"/>
        <v>1.8189894035458565E-12</v>
      </c>
      <c r="AE21" s="64">
        <f t="shared" si="2"/>
        <v>2.7284841053187847E-12</v>
      </c>
      <c r="AF21" s="64">
        <f t="shared" si="2"/>
        <v>3.637978807091713E-12</v>
      </c>
      <c r="AG21" s="64">
        <f t="shared" si="2"/>
        <v>3.1832314562052488E-12</v>
      </c>
    </row>
    <row r="22" spans="1:33">
      <c r="B22" s="393"/>
      <c r="C22" s="393"/>
      <c r="D22" s="393"/>
      <c r="E22" s="393"/>
      <c r="F22" s="393"/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</row>
    <row r="23" spans="1:33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</row>
    <row r="24" spans="1:33">
      <c r="A24" s="442" t="s">
        <v>351</v>
      </c>
      <c r="B24" s="447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-Assumptions!C10</f>
        <v>-17431.535343135838</v>
      </c>
      <c r="C25" s="18">
        <f t="shared" ref="C25:V25" si="3">+B29</f>
        <v>-17431.535343135838</v>
      </c>
      <c r="D25" s="18">
        <f t="shared" si="3"/>
        <v>-16409.877151200086</v>
      </c>
      <c r="E25" s="18">
        <f t="shared" si="3"/>
        <v>-16386.926348401859</v>
      </c>
      <c r="F25" s="18">
        <f t="shared" si="3"/>
        <v>-16366.019114101187</v>
      </c>
      <c r="G25" s="18">
        <f t="shared" si="3"/>
        <v>-16347.441547887696</v>
      </c>
      <c r="H25" s="18">
        <f t="shared" si="3"/>
        <v>-16315.749760625749</v>
      </c>
      <c r="I25" s="18">
        <f t="shared" si="3"/>
        <v>-16284.877804036416</v>
      </c>
      <c r="J25" s="18">
        <f t="shared" si="3"/>
        <v>-16249.683773524584</v>
      </c>
      <c r="K25" s="18">
        <f t="shared" si="3"/>
        <v>-16214.819259630382</v>
      </c>
      <c r="L25" s="18">
        <f t="shared" si="3"/>
        <v>-16164.560352012417</v>
      </c>
      <c r="M25" s="18">
        <f t="shared" si="3"/>
        <v>-16164.560352012417</v>
      </c>
      <c r="N25" s="18">
        <f t="shared" si="3"/>
        <v>-16164.560352012417</v>
      </c>
      <c r="O25" s="18">
        <f t="shared" si="3"/>
        <v>-16164.560352012417</v>
      </c>
      <c r="P25" s="18">
        <f t="shared" si="3"/>
        <v>-16164.560352012417</v>
      </c>
      <c r="Q25" s="18">
        <f t="shared" si="3"/>
        <v>-16164.560352012417</v>
      </c>
      <c r="R25" s="18">
        <f t="shared" si="3"/>
        <v>-16164.560352012417</v>
      </c>
      <c r="S25" s="18">
        <f t="shared" si="3"/>
        <v>-16164.560352012417</v>
      </c>
      <c r="T25" s="18">
        <f t="shared" si="3"/>
        <v>-16164.560352012417</v>
      </c>
      <c r="U25" s="18">
        <f t="shared" si="3"/>
        <v>-16164.560352012417</v>
      </c>
      <c r="V25" s="18">
        <f t="shared" si="3"/>
        <v>-16164.560352012417</v>
      </c>
      <c r="W25" s="18">
        <f t="shared" ref="W25:AG25" si="4">+V29</f>
        <v>-16164.560352012417</v>
      </c>
      <c r="X25" s="18">
        <f t="shared" si="4"/>
        <v>-16164.560352012417</v>
      </c>
      <c r="Y25" s="18">
        <f t="shared" si="4"/>
        <v>-16164.560352012417</v>
      </c>
      <c r="Z25" s="18">
        <f t="shared" si="4"/>
        <v>-16164.560352012417</v>
      </c>
      <c r="AA25" s="18">
        <f t="shared" si="4"/>
        <v>-16164.560352012417</v>
      </c>
      <c r="AB25" s="18">
        <f t="shared" si="4"/>
        <v>-16164.560352012417</v>
      </c>
      <c r="AC25" s="18">
        <f t="shared" si="4"/>
        <v>-16164.560352012417</v>
      </c>
      <c r="AD25" s="18">
        <f t="shared" si="4"/>
        <v>-16164.560352012417</v>
      </c>
      <c r="AE25" s="18">
        <f t="shared" si="4"/>
        <v>-16164.560352012417</v>
      </c>
      <c r="AF25" s="18">
        <f t="shared" si="4"/>
        <v>-16164.560352012417</v>
      </c>
      <c r="AG25" s="18">
        <f t="shared" si="4"/>
        <v>-16164.560352012417</v>
      </c>
    </row>
    <row r="26" spans="1:33">
      <c r="A26" s="45" t="s">
        <v>350</v>
      </c>
      <c r="B26" s="18">
        <v>0</v>
      </c>
      <c r="C26" s="18">
        <f>+-B25*$B$24</f>
        <v>2440.4149480390174</v>
      </c>
      <c r="D26" s="18">
        <f t="shared" ref="D26:V26" si="5">+-D25*$B$24</f>
        <v>2297.3828011680121</v>
      </c>
      <c r="E26" s="18">
        <f t="shared" si="5"/>
        <v>2294.1696887762605</v>
      </c>
      <c r="F26" s="18">
        <f t="shared" si="5"/>
        <v>2291.2426759741666</v>
      </c>
      <c r="G26" s="18">
        <f t="shared" si="5"/>
        <v>2288.6418167042775</v>
      </c>
      <c r="H26" s="18">
        <f t="shared" si="5"/>
        <v>2284.2049664876049</v>
      </c>
      <c r="I26" s="18">
        <f t="shared" si="5"/>
        <v>2279.8828925650982</v>
      </c>
      <c r="J26" s="18">
        <f t="shared" si="5"/>
        <v>2274.955728293442</v>
      </c>
      <c r="K26" s="18">
        <f t="shared" si="5"/>
        <v>2270.0746963482538</v>
      </c>
      <c r="L26" s="18">
        <f t="shared" si="5"/>
        <v>2263.0384492817384</v>
      </c>
      <c r="M26" s="18">
        <f t="shared" si="5"/>
        <v>2263.0384492817384</v>
      </c>
      <c r="N26" s="18">
        <f t="shared" si="5"/>
        <v>2263.0384492817384</v>
      </c>
      <c r="O26" s="18">
        <f t="shared" si="5"/>
        <v>2263.0384492817384</v>
      </c>
      <c r="P26" s="18">
        <f t="shared" si="5"/>
        <v>2263.0384492817384</v>
      </c>
      <c r="Q26" s="18">
        <f t="shared" si="5"/>
        <v>2263.0384492817384</v>
      </c>
      <c r="R26" s="18">
        <f t="shared" si="5"/>
        <v>2263.0384492817384</v>
      </c>
      <c r="S26" s="18">
        <f t="shared" si="5"/>
        <v>2263.0384492817384</v>
      </c>
      <c r="T26" s="18">
        <f t="shared" si="5"/>
        <v>2263.0384492817384</v>
      </c>
      <c r="U26" s="18">
        <f t="shared" si="5"/>
        <v>2263.0384492817384</v>
      </c>
      <c r="V26" s="18">
        <f t="shared" si="5"/>
        <v>2263.0384492817384</v>
      </c>
      <c r="W26" s="18">
        <f t="shared" ref="W26:AG26" si="6">+-W25*$B$24</f>
        <v>2263.0384492817384</v>
      </c>
      <c r="X26" s="18">
        <f t="shared" si="6"/>
        <v>2263.0384492817384</v>
      </c>
      <c r="Y26" s="18">
        <f t="shared" si="6"/>
        <v>2263.0384492817384</v>
      </c>
      <c r="Z26" s="18">
        <f t="shared" si="6"/>
        <v>2263.0384492817384</v>
      </c>
      <c r="AA26" s="18">
        <f t="shared" si="6"/>
        <v>2263.0384492817384</v>
      </c>
      <c r="AB26" s="18">
        <f t="shared" si="6"/>
        <v>2263.0384492817384</v>
      </c>
      <c r="AC26" s="18">
        <f t="shared" si="6"/>
        <v>2263.0384492817384</v>
      </c>
      <c r="AD26" s="18">
        <f t="shared" si="6"/>
        <v>2263.0384492817384</v>
      </c>
      <c r="AE26" s="18">
        <f t="shared" si="6"/>
        <v>2263.0384492817384</v>
      </c>
      <c r="AF26" s="18">
        <f t="shared" si="6"/>
        <v>2263.0384492817384</v>
      </c>
      <c r="AG26" s="18">
        <f t="shared" si="6"/>
        <v>2263.0384492817384</v>
      </c>
    </row>
    <row r="27" spans="1:33">
      <c r="A27" s="45" t="s">
        <v>346</v>
      </c>
      <c r="B27" s="18">
        <f>B21</f>
        <v>0</v>
      </c>
      <c r="C27" s="18">
        <f t="shared" ref="C27:AG27" si="7">C21</f>
        <v>3462.0731399747706</v>
      </c>
      <c r="D27" s="18">
        <f t="shared" si="7"/>
        <v>2320.3336039662372</v>
      </c>
      <c r="E27" s="18">
        <f t="shared" si="7"/>
        <v>2315.0769230769329</v>
      </c>
      <c r="F27" s="18">
        <f t="shared" si="7"/>
        <v>2309.8202421876576</v>
      </c>
      <c r="G27" s="18">
        <f t="shared" si="7"/>
        <v>2320.3336039662245</v>
      </c>
      <c r="H27" s="18">
        <f t="shared" si="7"/>
        <v>2315.0769230769374</v>
      </c>
      <c r="I27" s="18">
        <f t="shared" si="7"/>
        <v>2315.0769230769292</v>
      </c>
      <c r="J27" s="18">
        <f t="shared" si="7"/>
        <v>2309.8202421876458</v>
      </c>
      <c r="K27" s="18">
        <f t="shared" si="7"/>
        <v>2320.3336039662181</v>
      </c>
      <c r="L27" s="18">
        <f t="shared" si="7"/>
        <v>1867.523797589226</v>
      </c>
      <c r="M27" s="18">
        <f t="shared" si="7"/>
        <v>1556.8320847756831</v>
      </c>
      <c r="N27" s="18">
        <f t="shared" si="7"/>
        <v>1461.5496973742809</v>
      </c>
      <c r="O27" s="18">
        <f t="shared" si="7"/>
        <v>1369.6184925873854</v>
      </c>
      <c r="P27" s="18">
        <f t="shared" si="7"/>
        <v>1258.4610176064543</v>
      </c>
      <c r="Q27" s="18">
        <f t="shared" si="7"/>
        <v>1139.3060404480689</v>
      </c>
      <c r="R27" s="18">
        <f t="shared" si="7"/>
        <v>362.65116255715952</v>
      </c>
      <c r="S27" s="18">
        <f t="shared" si="7"/>
        <v>-409.07731913954149</v>
      </c>
      <c r="T27" s="18">
        <f t="shared" si="7"/>
        <v>-562.27273357978584</v>
      </c>
      <c r="U27" s="18">
        <f t="shared" si="7"/>
        <v>-722.35042747991156</v>
      </c>
      <c r="V27" s="18">
        <f t="shared" si="7"/>
        <v>-900.50260834993423</v>
      </c>
      <c r="W27" s="18">
        <f t="shared" si="7"/>
        <v>-1184.977519761896</v>
      </c>
      <c r="X27" s="18">
        <f t="shared" si="7"/>
        <v>-768.11115688127893</v>
      </c>
      <c r="Y27" s="18">
        <f t="shared" si="7"/>
        <v>-3.1832314562052488E-12</v>
      </c>
      <c r="Z27" s="18">
        <f t="shared" si="7"/>
        <v>2.9558577807620168E-12</v>
      </c>
      <c r="AA27" s="18">
        <f t="shared" si="7"/>
        <v>1.5916157281026244E-12</v>
      </c>
      <c r="AB27" s="18">
        <f t="shared" si="7"/>
        <v>-1.1368683772161603E-12</v>
      </c>
      <c r="AC27" s="18">
        <f t="shared" si="7"/>
        <v>-4.0927261579781771E-12</v>
      </c>
      <c r="AD27" s="18">
        <f t="shared" si="7"/>
        <v>1.8189894035458565E-12</v>
      </c>
      <c r="AE27" s="18">
        <f t="shared" si="7"/>
        <v>2.7284841053187847E-12</v>
      </c>
      <c r="AF27" s="18">
        <f t="shared" si="7"/>
        <v>3.637978807091713E-12</v>
      </c>
      <c r="AG27" s="18">
        <f t="shared" si="7"/>
        <v>3.1832314562052488E-12</v>
      </c>
    </row>
    <row r="28" spans="1:33">
      <c r="A28" s="45" t="s">
        <v>349</v>
      </c>
      <c r="B28" s="304">
        <v>0</v>
      </c>
      <c r="C28" s="304">
        <f t="shared" ref="C28:V28" si="8">+IF(C27&gt;C26,C27-C26,0)</f>
        <v>1021.6581919357532</v>
      </c>
      <c r="D28" s="304">
        <f t="shared" si="8"/>
        <v>22.950802798225141</v>
      </c>
      <c r="E28" s="304">
        <f t="shared" si="8"/>
        <v>20.907234300672371</v>
      </c>
      <c r="F28" s="304">
        <f t="shared" si="8"/>
        <v>18.577566213491082</v>
      </c>
      <c r="G28" s="304">
        <f t="shared" si="8"/>
        <v>31.691787261946956</v>
      </c>
      <c r="H28" s="304">
        <f t="shared" si="8"/>
        <v>30.871956589332513</v>
      </c>
      <c r="I28" s="304">
        <f t="shared" si="8"/>
        <v>35.194030511830988</v>
      </c>
      <c r="J28" s="304">
        <f t="shared" si="8"/>
        <v>34.86451389420381</v>
      </c>
      <c r="K28" s="304">
        <f t="shared" si="8"/>
        <v>50.258907617964269</v>
      </c>
      <c r="L28" s="304">
        <f t="shared" si="8"/>
        <v>0</v>
      </c>
      <c r="M28" s="304">
        <f t="shared" si="8"/>
        <v>0</v>
      </c>
      <c r="N28" s="304">
        <f t="shared" si="8"/>
        <v>0</v>
      </c>
      <c r="O28" s="304">
        <f t="shared" si="8"/>
        <v>0</v>
      </c>
      <c r="P28" s="304">
        <f t="shared" si="8"/>
        <v>0</v>
      </c>
      <c r="Q28" s="304">
        <f t="shared" si="8"/>
        <v>0</v>
      </c>
      <c r="R28" s="304">
        <f t="shared" si="8"/>
        <v>0</v>
      </c>
      <c r="S28" s="304">
        <f t="shared" si="8"/>
        <v>0</v>
      </c>
      <c r="T28" s="304">
        <f t="shared" si="8"/>
        <v>0</v>
      </c>
      <c r="U28" s="304">
        <f t="shared" si="8"/>
        <v>0</v>
      </c>
      <c r="V28" s="304">
        <f t="shared" si="8"/>
        <v>0</v>
      </c>
      <c r="W28" s="304">
        <f t="shared" ref="W28:AG28" si="9">+IF(W27&gt;W26,W27-W26,0)</f>
        <v>0</v>
      </c>
      <c r="X28" s="304">
        <f t="shared" si="9"/>
        <v>0</v>
      </c>
      <c r="Y28" s="304">
        <f t="shared" si="9"/>
        <v>0</v>
      </c>
      <c r="Z28" s="304">
        <f t="shared" si="9"/>
        <v>0</v>
      </c>
      <c r="AA28" s="304">
        <f t="shared" si="9"/>
        <v>0</v>
      </c>
      <c r="AB28" s="304">
        <f t="shared" si="9"/>
        <v>0</v>
      </c>
      <c r="AC28" s="304">
        <f t="shared" si="9"/>
        <v>0</v>
      </c>
      <c r="AD28" s="304">
        <f t="shared" si="9"/>
        <v>0</v>
      </c>
      <c r="AE28" s="304">
        <f t="shared" si="9"/>
        <v>0</v>
      </c>
      <c r="AF28" s="304">
        <f t="shared" si="9"/>
        <v>0</v>
      </c>
      <c r="AG28" s="304">
        <f t="shared" si="9"/>
        <v>0</v>
      </c>
    </row>
    <row r="29" spans="1:33">
      <c r="A29" s="45" t="s">
        <v>58</v>
      </c>
      <c r="B29" s="18">
        <f t="shared" ref="B29:V29" si="10">+B25+B28</f>
        <v>-17431.535343135838</v>
      </c>
      <c r="C29" s="18">
        <f t="shared" si="10"/>
        <v>-16409.877151200086</v>
      </c>
      <c r="D29" s="18">
        <f t="shared" si="10"/>
        <v>-16386.926348401859</v>
      </c>
      <c r="E29" s="18">
        <f t="shared" si="10"/>
        <v>-16366.019114101187</v>
      </c>
      <c r="F29" s="18">
        <f t="shared" si="10"/>
        <v>-16347.441547887696</v>
      </c>
      <c r="G29" s="18">
        <f t="shared" si="10"/>
        <v>-16315.749760625749</v>
      </c>
      <c r="H29" s="18">
        <f t="shared" si="10"/>
        <v>-16284.877804036416</v>
      </c>
      <c r="I29" s="18">
        <f t="shared" si="10"/>
        <v>-16249.683773524584</v>
      </c>
      <c r="J29" s="18">
        <f t="shared" si="10"/>
        <v>-16214.819259630382</v>
      </c>
      <c r="K29" s="18">
        <f t="shared" si="10"/>
        <v>-16164.560352012417</v>
      </c>
      <c r="L29" s="18">
        <f t="shared" si="10"/>
        <v>-16164.560352012417</v>
      </c>
      <c r="M29" s="18">
        <f t="shared" si="10"/>
        <v>-16164.560352012417</v>
      </c>
      <c r="N29" s="18">
        <f t="shared" si="10"/>
        <v>-16164.560352012417</v>
      </c>
      <c r="O29" s="18">
        <f t="shared" si="10"/>
        <v>-16164.560352012417</v>
      </c>
      <c r="P29" s="18">
        <f t="shared" si="10"/>
        <v>-16164.560352012417</v>
      </c>
      <c r="Q29" s="18">
        <f t="shared" si="10"/>
        <v>-16164.560352012417</v>
      </c>
      <c r="R29" s="18">
        <f t="shared" si="10"/>
        <v>-16164.560352012417</v>
      </c>
      <c r="S29" s="18">
        <f t="shared" si="10"/>
        <v>-16164.560352012417</v>
      </c>
      <c r="T29" s="18">
        <f t="shared" si="10"/>
        <v>-16164.560352012417</v>
      </c>
      <c r="U29" s="18">
        <f t="shared" si="10"/>
        <v>-16164.560352012417</v>
      </c>
      <c r="V29" s="18">
        <f t="shared" si="10"/>
        <v>-16164.560352012417</v>
      </c>
      <c r="W29" s="18">
        <f t="shared" ref="W29:AG29" si="11">+W25+W28</f>
        <v>-16164.560352012417</v>
      </c>
      <c r="X29" s="18">
        <f t="shared" si="11"/>
        <v>-16164.560352012417</v>
      </c>
      <c r="Y29" s="18">
        <f t="shared" si="11"/>
        <v>-16164.560352012417</v>
      </c>
      <c r="Z29" s="18">
        <f t="shared" si="11"/>
        <v>-16164.560352012417</v>
      </c>
      <c r="AA29" s="18">
        <f t="shared" si="11"/>
        <v>-16164.560352012417</v>
      </c>
      <c r="AB29" s="18">
        <f t="shared" si="11"/>
        <v>-16164.560352012417</v>
      </c>
      <c r="AC29" s="18">
        <f t="shared" si="11"/>
        <v>-16164.560352012417</v>
      </c>
      <c r="AD29" s="18">
        <f t="shared" si="11"/>
        <v>-16164.560352012417</v>
      </c>
      <c r="AE29" s="18">
        <f t="shared" si="11"/>
        <v>-16164.560352012417</v>
      </c>
      <c r="AF29" s="18">
        <f t="shared" si="11"/>
        <v>-16164.560352012417</v>
      </c>
      <c r="AG29" s="18">
        <f t="shared" si="11"/>
        <v>-16164.560352012417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2" t="s">
        <v>381</v>
      </c>
    </row>
    <row r="34" spans="1:33">
      <c r="A34" s="442"/>
    </row>
    <row r="35" spans="1:33">
      <c r="A35" s="441" t="s">
        <v>348</v>
      </c>
    </row>
    <row r="36" spans="1:33" s="18" customFormat="1">
      <c r="A36" s="45" t="s">
        <v>347</v>
      </c>
      <c r="B36" s="18">
        <f>-Assumptions!C10*Assumptions!$G$49</f>
        <v>-17431.535343135838</v>
      </c>
    </row>
    <row r="37" spans="1:33" s="18" customFormat="1">
      <c r="A37" s="45" t="s">
        <v>346</v>
      </c>
      <c r="B37" s="448">
        <f>B21*Assumptions!$G$49</f>
        <v>0</v>
      </c>
      <c r="C37" s="448">
        <f>C21*Assumptions!$G$49</f>
        <v>3462.0731399747706</v>
      </c>
      <c r="D37" s="448">
        <f>D21*Assumptions!$G$49</f>
        <v>2320.3336039662372</v>
      </c>
      <c r="E37" s="448">
        <f>E21*Assumptions!$G$49</f>
        <v>2315.0769230769329</v>
      </c>
      <c r="F37" s="448">
        <f>F21*Assumptions!$G$49</f>
        <v>2309.8202421876576</v>
      </c>
      <c r="G37" s="448">
        <f>G21*Assumptions!$G$49</f>
        <v>2320.3336039662245</v>
      </c>
      <c r="H37" s="448">
        <f>H21*Assumptions!$G$49</f>
        <v>2315.0769230769374</v>
      </c>
      <c r="I37" s="448">
        <f>I21*Assumptions!$G$49</f>
        <v>2315.0769230769292</v>
      </c>
      <c r="J37" s="448">
        <f>J21*Assumptions!$G$49</f>
        <v>2309.8202421876458</v>
      </c>
      <c r="K37" s="448">
        <f>K21*Assumptions!$G$49</f>
        <v>2320.3336039662181</v>
      </c>
      <c r="L37" s="448">
        <f>L21*Assumptions!$G$49</f>
        <v>1867.523797589226</v>
      </c>
      <c r="M37" s="448">
        <f>M21*Assumptions!$G$49</f>
        <v>1556.8320847756831</v>
      </c>
      <c r="N37" s="448">
        <f>N21*Assumptions!$G$49</f>
        <v>1461.5496973742809</v>
      </c>
      <c r="O37" s="448">
        <f>O21*Assumptions!$G$49</f>
        <v>1369.6184925873854</v>
      </c>
      <c r="P37" s="448">
        <f>P21*Assumptions!$G$49</f>
        <v>1258.4610176064543</v>
      </c>
      <c r="Q37" s="448">
        <f>Q21*Assumptions!$G$49</f>
        <v>1139.3060404480689</v>
      </c>
      <c r="R37" s="448">
        <f>R21*Assumptions!$G$49</f>
        <v>362.65116255715952</v>
      </c>
      <c r="S37" s="448">
        <f>S21*Assumptions!$G$49</f>
        <v>-409.07731913954149</v>
      </c>
      <c r="T37" s="448">
        <f>T21*Assumptions!$G$49</f>
        <v>-562.27273357978584</v>
      </c>
      <c r="U37" s="448">
        <f>U21*Assumptions!$G$49</f>
        <v>-722.35042747991156</v>
      </c>
      <c r="V37" s="448">
        <f>V21*Assumptions!$G$49</f>
        <v>-900.50260834993423</v>
      </c>
      <c r="W37" s="448">
        <f>W21*Assumptions!$G$49</f>
        <v>-1184.977519761896</v>
      </c>
      <c r="X37" s="448">
        <f>X21*Assumptions!$G$49</f>
        <v>-768.11115688127893</v>
      </c>
      <c r="Y37" s="448">
        <f>Y21*Assumptions!$G$49</f>
        <v>-3.1832314562052488E-12</v>
      </c>
      <c r="Z37" s="448">
        <f>Z21*Assumptions!$G$49</f>
        <v>2.9558577807620168E-12</v>
      </c>
      <c r="AA37" s="448">
        <f>AA21*Assumptions!$G$49</f>
        <v>1.5916157281026244E-12</v>
      </c>
      <c r="AB37" s="448">
        <f>AB21*Assumptions!$G$49</f>
        <v>-1.1368683772161603E-12</v>
      </c>
      <c r="AC37" s="448">
        <f>AC21*Assumptions!$G$49</f>
        <v>-4.0927261579781771E-12</v>
      </c>
      <c r="AD37" s="448">
        <f>AD21*Assumptions!$G$49</f>
        <v>1.8189894035458565E-12</v>
      </c>
      <c r="AE37" s="448">
        <f>AE21*Assumptions!$G$49</f>
        <v>2.7284841053187847E-12</v>
      </c>
      <c r="AF37" s="448">
        <f>AF21*Assumptions!$G$49</f>
        <v>3.637978807091713E-12</v>
      </c>
      <c r="AG37" s="448">
        <f>AG21*Assumptions!$G$49</f>
        <v>3.1832314562052488E-12</v>
      </c>
    </row>
    <row r="38" spans="1:33" s="18" customFormat="1">
      <c r="A38" s="45" t="s">
        <v>345</v>
      </c>
      <c r="B38" s="18">
        <f t="shared" ref="B38:AG38" si="12">SUM(B36:B37)</f>
        <v>-17431.535343135838</v>
      </c>
      <c r="C38" s="18">
        <f t="shared" si="12"/>
        <v>3462.0731399747706</v>
      </c>
      <c r="D38" s="18">
        <f t="shared" si="12"/>
        <v>2320.3336039662372</v>
      </c>
      <c r="E38" s="18">
        <f t="shared" si="12"/>
        <v>2315.0769230769329</v>
      </c>
      <c r="F38" s="18">
        <f t="shared" si="12"/>
        <v>2309.8202421876576</v>
      </c>
      <c r="G38" s="18">
        <f t="shared" si="12"/>
        <v>2320.3336039662245</v>
      </c>
      <c r="H38" s="18">
        <f t="shared" si="12"/>
        <v>2315.0769230769374</v>
      </c>
      <c r="I38" s="18">
        <f t="shared" si="12"/>
        <v>2315.0769230769292</v>
      </c>
      <c r="J38" s="18">
        <f t="shared" si="12"/>
        <v>2309.8202421876458</v>
      </c>
      <c r="K38" s="18">
        <f t="shared" si="12"/>
        <v>2320.3336039662181</v>
      </c>
      <c r="L38" s="18">
        <f t="shared" si="12"/>
        <v>1867.523797589226</v>
      </c>
      <c r="M38" s="18">
        <f t="shared" si="12"/>
        <v>1556.8320847756831</v>
      </c>
      <c r="N38" s="18">
        <f t="shared" si="12"/>
        <v>1461.5496973742809</v>
      </c>
      <c r="O38" s="18">
        <f t="shared" si="12"/>
        <v>1369.6184925873854</v>
      </c>
      <c r="P38" s="18">
        <f t="shared" si="12"/>
        <v>1258.4610176064543</v>
      </c>
      <c r="Q38" s="18">
        <f t="shared" si="12"/>
        <v>1139.3060404480689</v>
      </c>
      <c r="R38" s="18">
        <f t="shared" si="12"/>
        <v>362.65116255715952</v>
      </c>
      <c r="S38" s="18">
        <f t="shared" si="12"/>
        <v>-409.07731913954149</v>
      </c>
      <c r="T38" s="18">
        <f t="shared" si="12"/>
        <v>-562.27273357978584</v>
      </c>
      <c r="U38" s="18">
        <f t="shared" si="12"/>
        <v>-722.35042747991156</v>
      </c>
      <c r="V38" s="18">
        <f t="shared" si="12"/>
        <v>-900.50260834993423</v>
      </c>
      <c r="W38" s="18">
        <f t="shared" si="12"/>
        <v>-1184.977519761896</v>
      </c>
      <c r="X38" s="18">
        <f t="shared" si="12"/>
        <v>-768.11115688127893</v>
      </c>
      <c r="Y38" s="18">
        <f t="shared" si="12"/>
        <v>-3.1832314562052488E-12</v>
      </c>
      <c r="Z38" s="18">
        <f t="shared" si="12"/>
        <v>2.9558577807620168E-12</v>
      </c>
      <c r="AA38" s="18">
        <f t="shared" si="12"/>
        <v>1.5916157281026244E-12</v>
      </c>
      <c r="AB38" s="18">
        <f t="shared" si="12"/>
        <v>-1.1368683772161603E-12</v>
      </c>
      <c r="AC38" s="18">
        <f t="shared" si="12"/>
        <v>-4.0927261579781771E-12</v>
      </c>
      <c r="AD38" s="18">
        <f t="shared" si="12"/>
        <v>1.8189894035458565E-12</v>
      </c>
      <c r="AE38" s="18">
        <f t="shared" si="12"/>
        <v>2.7284841053187847E-12</v>
      </c>
      <c r="AF38" s="18">
        <f t="shared" si="12"/>
        <v>3.637978807091713E-12</v>
      </c>
      <c r="AG38" s="18">
        <f t="shared" si="12"/>
        <v>3.1832314562052488E-12</v>
      </c>
    </row>
    <row r="39" spans="1:33">
      <c r="B39" s="441" t="s">
        <v>1</v>
      </c>
      <c r="C39" s="446">
        <f>XIRR(B38:W38,B8:W8)</f>
        <v>7.7196463942527771E-2</v>
      </c>
    </row>
    <row r="40" spans="1:33">
      <c r="A40" s="45"/>
      <c r="B40" s="443"/>
    </row>
    <row r="41" spans="1:33">
      <c r="A41" s="43" t="str">
        <f>CONCATENATE("With ",Assumptions!H24,"x EBITDA Exit Multiple")</f>
        <v>With 5x EBITDA Exit Multiple</v>
      </c>
    </row>
    <row r="42" spans="1:33">
      <c r="A42" s="56" t="s">
        <v>347</v>
      </c>
      <c r="B42" s="18">
        <f>-Assumptions!C10*Assumptions!$G$49</f>
        <v>-17431.535343135838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346</v>
      </c>
      <c r="B43" s="444">
        <f>B21*Assumptions!$G$49</f>
        <v>0</v>
      </c>
      <c r="C43" s="444">
        <f>C21*Assumptions!$G$49</f>
        <v>3462.0731399747706</v>
      </c>
      <c r="D43" s="444">
        <f>D21*Assumptions!$G$49</f>
        <v>2320.3336039662372</v>
      </c>
      <c r="E43" s="444">
        <f>E21*Assumptions!$G$49</f>
        <v>2315.0769230769329</v>
      </c>
      <c r="F43" s="444">
        <f>F21*Assumptions!$G$49</f>
        <v>2309.8202421876576</v>
      </c>
      <c r="G43" s="444">
        <f>G21*Assumptions!$G$49</f>
        <v>2320.3336039662245</v>
      </c>
      <c r="H43" s="444">
        <f>H21*Assumptions!$G$49</f>
        <v>2315.0769230769374</v>
      </c>
      <c r="I43" s="444">
        <f>I21*Assumptions!$G$49</f>
        <v>2315.0769230769292</v>
      </c>
      <c r="J43" s="444">
        <f>J21*Assumptions!$G$49</f>
        <v>2309.8202421876458</v>
      </c>
      <c r="K43" s="444">
        <f>K21*Assumptions!$G$49</f>
        <v>2320.3336039662181</v>
      </c>
      <c r="L43" s="444">
        <f>L21*Assumptions!$G$49</f>
        <v>1867.523797589226</v>
      </c>
      <c r="M43" s="444">
        <f>M21*Assumptions!$G$49</f>
        <v>1556.8320847756831</v>
      </c>
      <c r="N43" s="444">
        <f>N21*Assumptions!$G$49</f>
        <v>1461.5496973742809</v>
      </c>
      <c r="O43" s="444">
        <f>O21*Assumptions!$G$49</f>
        <v>1369.6184925873854</v>
      </c>
      <c r="P43" s="444">
        <f>P21*Assumptions!$G$49</f>
        <v>1258.4610176064543</v>
      </c>
      <c r="Q43" s="444">
        <f>Q21*Assumptions!$G$49</f>
        <v>1139.3060404480689</v>
      </c>
      <c r="R43" s="444">
        <f>R21*Assumptions!$G$49</f>
        <v>362.65116255715952</v>
      </c>
      <c r="S43" s="444">
        <f>S21*Assumptions!$G$49</f>
        <v>-409.07731913954149</v>
      </c>
      <c r="T43" s="444">
        <f>T21*Assumptions!$G$49</f>
        <v>-562.27273357978584</v>
      </c>
      <c r="U43" s="444">
        <f>U21*Assumptions!$G$49</f>
        <v>-722.35042747991156</v>
      </c>
      <c r="V43" s="444">
        <f>V21*Assumptions!$G$49</f>
        <v>-900.50260834993423</v>
      </c>
      <c r="W43" s="444">
        <f>W21*Assumptions!$G$49</f>
        <v>-1184.977519761896</v>
      </c>
      <c r="X43" s="444">
        <f>X21*Assumptions!$G$49</f>
        <v>-768.11115688127893</v>
      </c>
      <c r="Y43" s="444">
        <f>Y21*Assumptions!$G$49</f>
        <v>-3.1832314562052488E-12</v>
      </c>
      <c r="Z43" s="444">
        <f>Z21*Assumptions!$G$49</f>
        <v>2.9558577807620168E-12</v>
      </c>
      <c r="AA43" s="444">
        <f>AA21*Assumptions!$G$49</f>
        <v>1.5916157281026244E-12</v>
      </c>
      <c r="AB43" s="444">
        <f>AB21*Assumptions!$G$49</f>
        <v>-1.1368683772161603E-12</v>
      </c>
      <c r="AC43" s="444">
        <f>AC21*Assumptions!$G$49</f>
        <v>-4.0927261579781771E-12</v>
      </c>
      <c r="AD43" s="444">
        <f>AD21*Assumptions!$G$49</f>
        <v>1.8189894035458565E-12</v>
      </c>
      <c r="AE43" s="444">
        <f>AE21*Assumptions!$G$49</f>
        <v>2.7284841053187847E-12</v>
      </c>
      <c r="AF43" s="444">
        <f>AF21*Assumptions!$G$49</f>
        <v>3.637978807091713E-12</v>
      </c>
      <c r="AG43" s="444">
        <f>AG21*Assumptions!$G$49</f>
        <v>3.1832314562052488E-12</v>
      </c>
    </row>
    <row r="44" spans="1:33">
      <c r="A44" s="56" t="s">
        <v>118</v>
      </c>
      <c r="B44" s="304">
        <v>0</v>
      </c>
      <c r="C44" s="304">
        <v>0</v>
      </c>
      <c r="D44" s="304">
        <v>0</v>
      </c>
      <c r="E44" s="304">
        <v>0</v>
      </c>
      <c r="F44" s="304">
        <v>0</v>
      </c>
      <c r="G44" s="304">
        <v>0</v>
      </c>
      <c r="H44" s="304">
        <v>0</v>
      </c>
      <c r="I44" s="304">
        <v>0</v>
      </c>
      <c r="J44" s="304">
        <v>0</v>
      </c>
      <c r="K44" s="304">
        <v>0</v>
      </c>
      <c r="L44" s="304">
        <v>0</v>
      </c>
      <c r="M44" s="304">
        <v>0</v>
      </c>
      <c r="N44" s="304">
        <v>0</v>
      </c>
      <c r="O44" s="304">
        <v>0</v>
      </c>
      <c r="P44" s="304">
        <v>0</v>
      </c>
      <c r="Q44" s="304">
        <v>0</v>
      </c>
      <c r="R44" s="304">
        <v>0</v>
      </c>
      <c r="S44" s="304">
        <v>0</v>
      </c>
      <c r="T44" s="304">
        <v>0</v>
      </c>
      <c r="U44" s="304">
        <v>0</v>
      </c>
      <c r="V44" s="304">
        <v>0</v>
      </c>
      <c r="W44" s="304">
        <f>Assumptions!H24*IS!W32*Assumptions!G49</f>
        <v>20025.75516154755</v>
      </c>
      <c r="X44" s="304">
        <v>0</v>
      </c>
      <c r="Y44" s="304">
        <v>0</v>
      </c>
      <c r="Z44" s="304">
        <v>0</v>
      </c>
      <c r="AA44" s="304">
        <v>0</v>
      </c>
      <c r="AB44" s="304">
        <v>0</v>
      </c>
      <c r="AC44" s="304">
        <v>0</v>
      </c>
      <c r="AD44" s="304">
        <v>0</v>
      </c>
      <c r="AE44" s="304">
        <v>0</v>
      </c>
      <c r="AF44" s="304">
        <v>0</v>
      </c>
      <c r="AG44" s="304">
        <f>Assumptions!H24*IS!AF32*Assumptions!G49</f>
        <v>0</v>
      </c>
    </row>
    <row r="45" spans="1:33">
      <c r="A45" s="56" t="s">
        <v>345</v>
      </c>
      <c r="B45" s="18">
        <f t="shared" ref="B45:AG45" si="13">SUM(B42:B44)</f>
        <v>-17431.535343135838</v>
      </c>
      <c r="C45" s="18">
        <f t="shared" si="13"/>
        <v>3462.0731399747706</v>
      </c>
      <c r="D45" s="18">
        <f t="shared" si="13"/>
        <v>2320.3336039662372</v>
      </c>
      <c r="E45" s="18">
        <f t="shared" si="13"/>
        <v>2315.0769230769329</v>
      </c>
      <c r="F45" s="18">
        <f t="shared" si="13"/>
        <v>2309.8202421876576</v>
      </c>
      <c r="G45" s="18">
        <f t="shared" si="13"/>
        <v>2320.3336039662245</v>
      </c>
      <c r="H45" s="18">
        <f t="shared" si="13"/>
        <v>2315.0769230769374</v>
      </c>
      <c r="I45" s="18">
        <f t="shared" si="13"/>
        <v>2315.0769230769292</v>
      </c>
      <c r="J45" s="18">
        <f t="shared" si="13"/>
        <v>2309.8202421876458</v>
      </c>
      <c r="K45" s="18">
        <f t="shared" si="13"/>
        <v>2320.3336039662181</v>
      </c>
      <c r="L45" s="18">
        <f t="shared" si="13"/>
        <v>1867.523797589226</v>
      </c>
      <c r="M45" s="18">
        <f t="shared" si="13"/>
        <v>1556.8320847756831</v>
      </c>
      <c r="N45" s="18">
        <f t="shared" si="13"/>
        <v>1461.5496973742809</v>
      </c>
      <c r="O45" s="18">
        <f t="shared" si="13"/>
        <v>1369.6184925873854</v>
      </c>
      <c r="P45" s="18">
        <f t="shared" si="13"/>
        <v>1258.4610176064543</v>
      </c>
      <c r="Q45" s="18">
        <f t="shared" si="13"/>
        <v>1139.3060404480689</v>
      </c>
      <c r="R45" s="18">
        <f t="shared" si="13"/>
        <v>362.65116255715952</v>
      </c>
      <c r="S45" s="18">
        <f t="shared" si="13"/>
        <v>-409.07731913954149</v>
      </c>
      <c r="T45" s="18">
        <f t="shared" si="13"/>
        <v>-562.27273357978584</v>
      </c>
      <c r="U45" s="18">
        <f t="shared" si="13"/>
        <v>-722.35042747991156</v>
      </c>
      <c r="V45" s="18">
        <f t="shared" si="13"/>
        <v>-900.50260834993423</v>
      </c>
      <c r="W45" s="18">
        <f t="shared" si="13"/>
        <v>18840.777641785655</v>
      </c>
      <c r="X45" s="18">
        <f t="shared" si="13"/>
        <v>-768.11115688127893</v>
      </c>
      <c r="Y45" s="18">
        <f t="shared" si="13"/>
        <v>-3.1832314562052488E-12</v>
      </c>
      <c r="Z45" s="18">
        <f t="shared" si="13"/>
        <v>2.9558577807620168E-12</v>
      </c>
      <c r="AA45" s="18">
        <f t="shared" si="13"/>
        <v>1.5916157281026244E-12</v>
      </c>
      <c r="AB45" s="18">
        <f t="shared" si="13"/>
        <v>-1.1368683772161603E-12</v>
      </c>
      <c r="AC45" s="18">
        <f t="shared" si="13"/>
        <v>-4.0927261579781771E-12</v>
      </c>
      <c r="AD45" s="18">
        <f t="shared" si="13"/>
        <v>1.8189894035458565E-12</v>
      </c>
      <c r="AE45" s="18">
        <f t="shared" si="13"/>
        <v>2.7284841053187847E-12</v>
      </c>
      <c r="AF45" s="18">
        <f t="shared" si="13"/>
        <v>3.637978807091713E-12</v>
      </c>
      <c r="AG45" s="18">
        <f t="shared" si="13"/>
        <v>3.1832314562052488E-12</v>
      </c>
    </row>
    <row r="46" spans="1:33">
      <c r="A46" s="13"/>
      <c r="B46" s="441" t="s">
        <v>1</v>
      </c>
      <c r="C46" s="446">
        <f>XIRR(B45:W45,B8:W8)</f>
        <v>0.10423843264579771</v>
      </c>
    </row>
    <row r="47" spans="1:33">
      <c r="A47" s="56"/>
      <c r="B47" s="443"/>
    </row>
    <row r="48" spans="1:33">
      <c r="A48" s="43" t="str">
        <f>CONCATENATE("With ",Assumptions!H25*100,"% Initial Project Cost")</f>
        <v>With 20% Initial Project Cost</v>
      </c>
    </row>
    <row r="49" spans="1:33" s="18" customFormat="1">
      <c r="A49" s="56" t="s">
        <v>347</v>
      </c>
      <c r="B49" s="18">
        <f>-Assumptions!C10*Assumptions!G49</f>
        <v>-17431.535343135838</v>
      </c>
    </row>
    <row r="50" spans="1:33" s="18" customFormat="1">
      <c r="A50" s="56" t="s">
        <v>346</v>
      </c>
      <c r="B50" s="18">
        <f>+B21*Assumptions!$G$49</f>
        <v>0</v>
      </c>
      <c r="C50" s="18">
        <f>+C21*Assumptions!$G$49</f>
        <v>3462.0731399747706</v>
      </c>
      <c r="D50" s="18">
        <f>+D21*Assumptions!$G$49</f>
        <v>2320.3336039662372</v>
      </c>
      <c r="E50" s="18">
        <f>+E21*Assumptions!$G$49</f>
        <v>2315.0769230769329</v>
      </c>
      <c r="F50" s="18">
        <f>+F21*Assumptions!$G$49</f>
        <v>2309.8202421876576</v>
      </c>
      <c r="G50" s="18">
        <f>+G21*Assumptions!$G$49</f>
        <v>2320.3336039662245</v>
      </c>
      <c r="H50" s="18">
        <f>+H21*Assumptions!$G$49</f>
        <v>2315.0769230769374</v>
      </c>
      <c r="I50" s="18">
        <f>+I21*Assumptions!$G$49</f>
        <v>2315.0769230769292</v>
      </c>
      <c r="J50" s="18">
        <f>+J21*Assumptions!$G$49</f>
        <v>2309.8202421876458</v>
      </c>
      <c r="K50" s="18">
        <f>+K21*Assumptions!$G$49</f>
        <v>2320.3336039662181</v>
      </c>
      <c r="L50" s="18">
        <f>+L21*Assumptions!$G$49</f>
        <v>1867.523797589226</v>
      </c>
      <c r="M50" s="18">
        <f>+M21*Assumptions!$G$49</f>
        <v>1556.8320847756831</v>
      </c>
      <c r="N50" s="18">
        <f>+N21*Assumptions!$G$49</f>
        <v>1461.5496973742809</v>
      </c>
      <c r="O50" s="18">
        <f>+O21*Assumptions!$G$49</f>
        <v>1369.6184925873854</v>
      </c>
      <c r="P50" s="18">
        <f>+P21*Assumptions!$G$49</f>
        <v>1258.4610176064543</v>
      </c>
      <c r="Q50" s="18">
        <f>+Q21*Assumptions!$G$49</f>
        <v>1139.3060404480689</v>
      </c>
      <c r="R50" s="18">
        <f>+R21*Assumptions!$G$49</f>
        <v>362.65116255715952</v>
      </c>
      <c r="S50" s="18">
        <f>+S21*Assumptions!$G$49</f>
        <v>-409.07731913954149</v>
      </c>
      <c r="T50" s="18">
        <f>+T21*Assumptions!$G$49</f>
        <v>-562.27273357978584</v>
      </c>
      <c r="U50" s="18">
        <f>+U21*Assumptions!$G$49</f>
        <v>-722.35042747991156</v>
      </c>
      <c r="V50" s="18">
        <f>+V21*Assumptions!$G$49</f>
        <v>-900.50260834993423</v>
      </c>
      <c r="W50" s="18">
        <f>+W21*Assumptions!$G$49</f>
        <v>-1184.977519761896</v>
      </c>
      <c r="X50" s="18">
        <f>+X21*Assumptions!$G$49</f>
        <v>-768.11115688127893</v>
      </c>
      <c r="Y50" s="18">
        <f>+Y21*Assumptions!$G$49</f>
        <v>-3.1832314562052488E-12</v>
      </c>
      <c r="Z50" s="18">
        <f>+Z21*Assumptions!$G$49</f>
        <v>2.9558577807620168E-12</v>
      </c>
      <c r="AA50" s="18">
        <f>+AA21*Assumptions!$G$49</f>
        <v>1.5916157281026244E-12</v>
      </c>
      <c r="AB50" s="18">
        <f>+AB21*Assumptions!$G$49</f>
        <v>-1.1368683772161603E-12</v>
      </c>
      <c r="AC50" s="18">
        <f>+AC21*Assumptions!$G$49</f>
        <v>-4.0927261579781771E-12</v>
      </c>
      <c r="AD50" s="18">
        <f>+AD21*Assumptions!$G$49</f>
        <v>1.8189894035458565E-12</v>
      </c>
      <c r="AE50" s="18">
        <f>+AE21*Assumptions!$G$49</f>
        <v>2.7284841053187847E-12</v>
      </c>
      <c r="AF50" s="18">
        <f>+AF21*Assumptions!$G$49</f>
        <v>3.637978807091713E-12</v>
      </c>
      <c r="AG50" s="18">
        <f>+AG21*Assumptions!$G$49</f>
        <v>3.1832314562052488E-12</v>
      </c>
    </row>
    <row r="51" spans="1:33" s="18" customFormat="1">
      <c r="A51" s="56" t="s">
        <v>118</v>
      </c>
      <c r="B51" s="304">
        <v>0</v>
      </c>
      <c r="C51" s="304">
        <v>0</v>
      </c>
      <c r="D51" s="304">
        <v>0</v>
      </c>
      <c r="E51" s="304">
        <v>0</v>
      </c>
      <c r="F51" s="304">
        <v>0</v>
      </c>
      <c r="G51" s="304">
        <v>0</v>
      </c>
      <c r="H51" s="304">
        <v>0</v>
      </c>
      <c r="I51" s="304">
        <v>0</v>
      </c>
      <c r="J51" s="304">
        <v>0</v>
      </c>
      <c r="K51" s="304">
        <v>0</v>
      </c>
      <c r="L51" s="304">
        <v>0</v>
      </c>
      <c r="M51" s="304">
        <v>0</v>
      </c>
      <c r="N51" s="304">
        <v>0</v>
      </c>
      <c r="O51" s="304">
        <v>0</v>
      </c>
      <c r="P51" s="304">
        <v>0</v>
      </c>
      <c r="Q51" s="304">
        <v>0</v>
      </c>
      <c r="R51" s="304">
        <v>0</v>
      </c>
      <c r="S51" s="304">
        <v>0</v>
      </c>
      <c r="T51" s="304">
        <v>0</v>
      </c>
      <c r="U51" s="304">
        <v>0</v>
      </c>
      <c r="V51" s="304">
        <v>0</v>
      </c>
      <c r="W51" s="304">
        <f>AG51</f>
        <v>11621.023562090559</v>
      </c>
      <c r="X51" s="304">
        <v>0</v>
      </c>
      <c r="Y51" s="304">
        <v>0</v>
      </c>
      <c r="Z51" s="304">
        <v>0</v>
      </c>
      <c r="AA51" s="304">
        <v>0</v>
      </c>
      <c r="AB51" s="304">
        <v>0</v>
      </c>
      <c r="AC51" s="304">
        <v>0</v>
      </c>
      <c r="AD51" s="304">
        <v>0</v>
      </c>
      <c r="AE51" s="304">
        <v>0</v>
      </c>
      <c r="AF51" s="304">
        <v>0</v>
      </c>
      <c r="AG51" s="304">
        <f>Assumptions!H25*Assumptions!C61*Assumptions!G49</f>
        <v>11621.023562090559</v>
      </c>
    </row>
    <row r="52" spans="1:33" s="18" customFormat="1">
      <c r="A52" s="56" t="s">
        <v>345</v>
      </c>
      <c r="B52" s="18">
        <f>SUM(B49:B51)</f>
        <v>-17431.535343135838</v>
      </c>
      <c r="C52" s="18">
        <f t="shared" ref="C52:AG52" si="14">SUM(C49:C51)</f>
        <v>3462.0731399747706</v>
      </c>
      <c r="D52" s="18">
        <f t="shared" si="14"/>
        <v>2320.3336039662372</v>
      </c>
      <c r="E52" s="18">
        <f t="shared" si="14"/>
        <v>2315.0769230769329</v>
      </c>
      <c r="F52" s="18">
        <f t="shared" si="14"/>
        <v>2309.8202421876576</v>
      </c>
      <c r="G52" s="18">
        <f t="shared" si="14"/>
        <v>2320.3336039662245</v>
      </c>
      <c r="H52" s="18">
        <f t="shared" si="14"/>
        <v>2315.0769230769374</v>
      </c>
      <c r="I52" s="18">
        <f t="shared" si="14"/>
        <v>2315.0769230769292</v>
      </c>
      <c r="J52" s="18">
        <f t="shared" si="14"/>
        <v>2309.8202421876458</v>
      </c>
      <c r="K52" s="18">
        <f t="shared" si="14"/>
        <v>2320.3336039662181</v>
      </c>
      <c r="L52" s="18">
        <f t="shared" si="14"/>
        <v>1867.523797589226</v>
      </c>
      <c r="M52" s="18">
        <f t="shared" si="14"/>
        <v>1556.8320847756831</v>
      </c>
      <c r="N52" s="18">
        <f t="shared" si="14"/>
        <v>1461.5496973742809</v>
      </c>
      <c r="O52" s="18">
        <f t="shared" si="14"/>
        <v>1369.6184925873854</v>
      </c>
      <c r="P52" s="18">
        <f t="shared" si="14"/>
        <v>1258.4610176064543</v>
      </c>
      <c r="Q52" s="18">
        <f t="shared" si="14"/>
        <v>1139.3060404480689</v>
      </c>
      <c r="R52" s="18">
        <f t="shared" si="14"/>
        <v>362.65116255715952</v>
      </c>
      <c r="S52" s="18">
        <f t="shared" si="14"/>
        <v>-409.07731913954149</v>
      </c>
      <c r="T52" s="18">
        <f t="shared" si="14"/>
        <v>-562.27273357978584</v>
      </c>
      <c r="U52" s="18">
        <f t="shared" si="14"/>
        <v>-722.35042747991156</v>
      </c>
      <c r="V52" s="18">
        <f t="shared" si="14"/>
        <v>-900.50260834993423</v>
      </c>
      <c r="W52" s="18">
        <f t="shared" si="14"/>
        <v>10436.046042328662</v>
      </c>
      <c r="X52" s="18">
        <f t="shared" si="14"/>
        <v>-768.11115688127893</v>
      </c>
      <c r="Y52" s="18">
        <f t="shared" si="14"/>
        <v>-3.1832314562052488E-12</v>
      </c>
      <c r="Z52" s="18">
        <f t="shared" si="14"/>
        <v>2.9558577807620168E-12</v>
      </c>
      <c r="AA52" s="18">
        <f t="shared" si="14"/>
        <v>1.5916157281026244E-12</v>
      </c>
      <c r="AB52" s="18">
        <f t="shared" si="14"/>
        <v>-1.1368683772161603E-12</v>
      </c>
      <c r="AC52" s="18">
        <f t="shared" si="14"/>
        <v>-4.0927261579781771E-12</v>
      </c>
      <c r="AD52" s="18">
        <f t="shared" si="14"/>
        <v>1.8189894035458565E-12</v>
      </c>
      <c r="AE52" s="18">
        <f t="shared" si="14"/>
        <v>2.7284841053187847E-12</v>
      </c>
      <c r="AF52" s="18">
        <f t="shared" si="14"/>
        <v>3.637978807091713E-12</v>
      </c>
      <c r="AG52" s="18">
        <f t="shared" si="14"/>
        <v>11621.023562090562</v>
      </c>
    </row>
    <row r="53" spans="1:33">
      <c r="A53" s="13"/>
      <c r="B53" s="441" t="s">
        <v>1</v>
      </c>
      <c r="C53" s="446">
        <f>XIRR(B52:W52,B8:W8)</f>
        <v>9.5325055718421939E-2</v>
      </c>
    </row>
    <row r="54" spans="1:33">
      <c r="A54" s="56"/>
      <c r="B54" s="443"/>
    </row>
    <row r="55" spans="1:33">
      <c r="A55" s="43" t="str">
        <f>CONCATENATE("With $",Assumptions!H26,"/kW")</f>
        <v>With $200/kW</v>
      </c>
    </row>
    <row r="56" spans="1:33" s="18" customFormat="1">
      <c r="A56" s="56" t="s">
        <v>347</v>
      </c>
      <c r="B56" s="18">
        <f>-Assumptions!C10*Assumptions!G49</f>
        <v>-17431.535343135838</v>
      </c>
    </row>
    <row r="57" spans="1:33" s="18" customFormat="1">
      <c r="A57" s="56" t="s">
        <v>346</v>
      </c>
      <c r="B57" s="444">
        <f>B21*Assumptions!$G$49</f>
        <v>0</v>
      </c>
      <c r="C57" s="444">
        <f>C21*Assumptions!$G$49</f>
        <v>3462.0731399747706</v>
      </c>
      <c r="D57" s="444">
        <f>D21*Assumptions!$G$49</f>
        <v>2320.3336039662372</v>
      </c>
      <c r="E57" s="444">
        <f>E21*Assumptions!$G$49</f>
        <v>2315.0769230769329</v>
      </c>
      <c r="F57" s="444">
        <f>F21*Assumptions!$G$49</f>
        <v>2309.8202421876576</v>
      </c>
      <c r="G57" s="444">
        <f>G21*Assumptions!$G$49</f>
        <v>2320.3336039662245</v>
      </c>
      <c r="H57" s="444">
        <f>H21*Assumptions!$G$49</f>
        <v>2315.0769230769374</v>
      </c>
      <c r="I57" s="444">
        <f>I21*Assumptions!$G$49</f>
        <v>2315.0769230769292</v>
      </c>
      <c r="J57" s="444">
        <f>J21*Assumptions!$G$49</f>
        <v>2309.8202421876458</v>
      </c>
      <c r="K57" s="444">
        <f>K21*Assumptions!$G$49</f>
        <v>2320.3336039662181</v>
      </c>
      <c r="L57" s="444">
        <f>L21*Assumptions!$G$49</f>
        <v>1867.523797589226</v>
      </c>
      <c r="M57" s="444">
        <f>M21*Assumptions!$G$49</f>
        <v>1556.8320847756831</v>
      </c>
      <c r="N57" s="444">
        <f>N21*Assumptions!$G$49</f>
        <v>1461.5496973742809</v>
      </c>
      <c r="O57" s="444">
        <f>O21*Assumptions!$G$49</f>
        <v>1369.6184925873854</v>
      </c>
      <c r="P57" s="444">
        <f>P21*Assumptions!$G$49</f>
        <v>1258.4610176064543</v>
      </c>
      <c r="Q57" s="444">
        <f>Q21*Assumptions!$G$49</f>
        <v>1139.3060404480689</v>
      </c>
      <c r="R57" s="444">
        <f>R21*Assumptions!$G$49</f>
        <v>362.65116255715952</v>
      </c>
      <c r="S57" s="444">
        <f>S21*Assumptions!$G$49</f>
        <v>-409.07731913954149</v>
      </c>
      <c r="T57" s="444">
        <f>T21*Assumptions!$G$49</f>
        <v>-562.27273357978584</v>
      </c>
      <c r="U57" s="444">
        <f>U21*Assumptions!$G$49</f>
        <v>-722.35042747991156</v>
      </c>
      <c r="V57" s="444">
        <f>V21*Assumptions!$G$49</f>
        <v>-900.50260834993423</v>
      </c>
      <c r="W57" s="444">
        <f>W21*Assumptions!$G$49</f>
        <v>-1184.977519761896</v>
      </c>
      <c r="X57" s="444">
        <f>X21*Assumptions!$G$49</f>
        <v>-768.11115688127893</v>
      </c>
      <c r="Y57" s="444">
        <f>Y21*Assumptions!$G$49</f>
        <v>-3.1832314562052488E-12</v>
      </c>
      <c r="Z57" s="444">
        <f>Z21*Assumptions!$G$49</f>
        <v>2.9558577807620168E-12</v>
      </c>
      <c r="AA57" s="444">
        <f>AA21*Assumptions!$G$49</f>
        <v>1.5916157281026244E-12</v>
      </c>
      <c r="AB57" s="444">
        <f>AB21*Assumptions!$G$49</f>
        <v>-1.1368683772161603E-12</v>
      </c>
      <c r="AC57" s="444">
        <f>AC21*Assumptions!$G$49</f>
        <v>-4.0927261579781771E-12</v>
      </c>
      <c r="AD57" s="444">
        <f>AD21*Assumptions!$G$49</f>
        <v>1.8189894035458565E-12</v>
      </c>
      <c r="AE57" s="444">
        <f>AE21*Assumptions!$G$49</f>
        <v>2.7284841053187847E-12</v>
      </c>
      <c r="AF57" s="444">
        <f>AF21*Assumptions!$G$49</f>
        <v>3.637978807091713E-12</v>
      </c>
      <c r="AG57" s="444">
        <f>AG21*Assumptions!$G$49</f>
        <v>3.1832314562052488E-12</v>
      </c>
    </row>
    <row r="58" spans="1:33" s="18" customFormat="1">
      <c r="A58" s="56" t="s">
        <v>118</v>
      </c>
      <c r="B58" s="304">
        <v>0</v>
      </c>
      <c r="C58" s="304">
        <v>0</v>
      </c>
      <c r="D58" s="304">
        <v>0</v>
      </c>
      <c r="E58" s="304">
        <v>0</v>
      </c>
      <c r="F58" s="304">
        <v>0</v>
      </c>
      <c r="G58" s="304">
        <v>0</v>
      </c>
      <c r="H58" s="304">
        <v>0</v>
      </c>
      <c r="I58" s="304">
        <v>0</v>
      </c>
      <c r="J58" s="304">
        <v>0</v>
      </c>
      <c r="K58" s="304">
        <v>0</v>
      </c>
      <c r="L58" s="304">
        <v>0</v>
      </c>
      <c r="M58" s="304">
        <v>0</v>
      </c>
      <c r="N58" s="304">
        <v>0</v>
      </c>
      <c r="O58" s="304">
        <v>0</v>
      </c>
      <c r="P58" s="304">
        <v>0</v>
      </c>
      <c r="Q58" s="304">
        <v>0</v>
      </c>
      <c r="R58" s="304">
        <v>0</v>
      </c>
      <c r="S58" s="304">
        <v>0</v>
      </c>
      <c r="T58" s="304">
        <v>0</v>
      </c>
      <c r="U58" s="304">
        <v>0</v>
      </c>
      <c r="V58" s="304">
        <v>0</v>
      </c>
      <c r="W58" s="304">
        <f>AG58</f>
        <v>30400</v>
      </c>
      <c r="X58" s="304">
        <v>0</v>
      </c>
      <c r="Y58" s="304">
        <v>0</v>
      </c>
      <c r="Z58" s="304">
        <v>0</v>
      </c>
      <c r="AA58" s="304">
        <v>0</v>
      </c>
      <c r="AB58" s="304">
        <v>0</v>
      </c>
      <c r="AC58" s="304">
        <v>0</v>
      </c>
      <c r="AD58" s="304">
        <v>0</v>
      </c>
      <c r="AE58" s="304">
        <v>0</v>
      </c>
      <c r="AF58" s="304">
        <v>0</v>
      </c>
      <c r="AG58" s="304">
        <f>Assumptions!H26*Assumptions!H70*Assumptions!G49</f>
        <v>30400</v>
      </c>
    </row>
    <row r="59" spans="1:33" s="18" customFormat="1" ht="12" customHeight="1">
      <c r="A59" s="56" t="s">
        <v>345</v>
      </c>
      <c r="B59" s="18">
        <f>SUM(B56:B58)</f>
        <v>-17431.535343135838</v>
      </c>
      <c r="C59" s="18">
        <f t="shared" ref="C59:AG59" si="15">SUM(C56:C58)</f>
        <v>3462.0731399747706</v>
      </c>
      <c r="D59" s="18">
        <f t="shared" si="15"/>
        <v>2320.3336039662372</v>
      </c>
      <c r="E59" s="18">
        <f t="shared" si="15"/>
        <v>2315.0769230769329</v>
      </c>
      <c r="F59" s="18">
        <f t="shared" si="15"/>
        <v>2309.8202421876576</v>
      </c>
      <c r="G59" s="18">
        <f t="shared" si="15"/>
        <v>2320.3336039662245</v>
      </c>
      <c r="H59" s="18">
        <f t="shared" si="15"/>
        <v>2315.0769230769374</v>
      </c>
      <c r="I59" s="18">
        <f t="shared" si="15"/>
        <v>2315.0769230769292</v>
      </c>
      <c r="J59" s="18">
        <f t="shared" si="15"/>
        <v>2309.8202421876458</v>
      </c>
      <c r="K59" s="18">
        <f t="shared" si="15"/>
        <v>2320.3336039662181</v>
      </c>
      <c r="L59" s="18">
        <f t="shared" si="15"/>
        <v>1867.523797589226</v>
      </c>
      <c r="M59" s="18">
        <f t="shared" si="15"/>
        <v>1556.8320847756831</v>
      </c>
      <c r="N59" s="18">
        <f t="shared" si="15"/>
        <v>1461.5496973742809</v>
      </c>
      <c r="O59" s="18">
        <f t="shared" si="15"/>
        <v>1369.6184925873854</v>
      </c>
      <c r="P59" s="18">
        <f t="shared" si="15"/>
        <v>1258.4610176064543</v>
      </c>
      <c r="Q59" s="18">
        <f t="shared" si="15"/>
        <v>1139.3060404480689</v>
      </c>
      <c r="R59" s="18">
        <f t="shared" si="15"/>
        <v>362.65116255715952</v>
      </c>
      <c r="S59" s="18">
        <f t="shared" si="15"/>
        <v>-409.07731913954149</v>
      </c>
      <c r="T59" s="18">
        <f t="shared" si="15"/>
        <v>-562.27273357978584</v>
      </c>
      <c r="U59" s="18">
        <f t="shared" si="15"/>
        <v>-722.35042747991156</v>
      </c>
      <c r="V59" s="18">
        <f t="shared" si="15"/>
        <v>-900.50260834993423</v>
      </c>
      <c r="W59" s="18">
        <f t="shared" si="15"/>
        <v>29215.022480238105</v>
      </c>
      <c r="X59" s="18">
        <f t="shared" si="15"/>
        <v>-768.11115688127893</v>
      </c>
      <c r="Y59" s="18">
        <f t="shared" si="15"/>
        <v>-3.1832314562052488E-12</v>
      </c>
      <c r="Z59" s="18">
        <f t="shared" si="15"/>
        <v>2.9558577807620168E-12</v>
      </c>
      <c r="AA59" s="18">
        <f t="shared" si="15"/>
        <v>1.5916157281026244E-12</v>
      </c>
      <c r="AB59" s="18">
        <f t="shared" si="15"/>
        <v>-1.1368683772161603E-12</v>
      </c>
      <c r="AC59" s="18">
        <f t="shared" si="15"/>
        <v>-4.0927261579781771E-12</v>
      </c>
      <c r="AD59" s="18">
        <f t="shared" si="15"/>
        <v>1.8189894035458565E-12</v>
      </c>
      <c r="AE59" s="18">
        <f t="shared" si="15"/>
        <v>2.7284841053187847E-12</v>
      </c>
      <c r="AF59" s="18">
        <f t="shared" si="15"/>
        <v>3.637978807091713E-12</v>
      </c>
      <c r="AG59" s="18">
        <f t="shared" si="15"/>
        <v>30400.000000000004</v>
      </c>
    </row>
    <row r="60" spans="1:33">
      <c r="A60" s="13"/>
      <c r="B60" s="441" t="s">
        <v>1</v>
      </c>
      <c r="C60" s="446">
        <f>XIRR(B59:W59,B8:W8)</f>
        <v>0.11290541291236877</v>
      </c>
    </row>
    <row r="61" spans="1:33">
      <c r="A61" s="56"/>
      <c r="B61" s="443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5" t="str">
        <f>Assumptions!A3</f>
        <v>PROJECT NAME: CIPCO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2" t="s">
        <v>396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6"/>
      <c r="AB5" s="6"/>
      <c r="AG5"/>
    </row>
    <row r="6" spans="1:40" s="140" customFormat="1" ht="13.5">
      <c r="A6" s="47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/>
    </row>
    <row r="7" spans="1:40" ht="13.5" thickBot="1">
      <c r="A7" s="121" t="s">
        <v>39</v>
      </c>
      <c r="B7" s="210">
        <f>IS!C7</f>
        <v>2001</v>
      </c>
      <c r="C7" s="210">
        <f>B7+1</f>
        <v>2002</v>
      </c>
      <c r="D7" s="210">
        <f t="shared" ref="D7:AF7" si="0">C7+1</f>
        <v>2003</v>
      </c>
      <c r="E7" s="210">
        <f t="shared" si="0"/>
        <v>2004</v>
      </c>
      <c r="F7" s="210">
        <f t="shared" si="0"/>
        <v>2005</v>
      </c>
      <c r="G7" s="210">
        <f t="shared" si="0"/>
        <v>2006</v>
      </c>
      <c r="H7" s="210">
        <f t="shared" si="0"/>
        <v>2007</v>
      </c>
      <c r="I7" s="210">
        <f t="shared" si="0"/>
        <v>2008</v>
      </c>
      <c r="J7" s="210">
        <f t="shared" si="0"/>
        <v>2009</v>
      </c>
      <c r="K7" s="210">
        <f t="shared" si="0"/>
        <v>2010</v>
      </c>
      <c r="L7" s="210">
        <f t="shared" si="0"/>
        <v>2011</v>
      </c>
      <c r="M7" s="210">
        <f t="shared" si="0"/>
        <v>2012</v>
      </c>
      <c r="N7" s="210">
        <f t="shared" si="0"/>
        <v>2013</v>
      </c>
      <c r="O7" s="210">
        <f t="shared" si="0"/>
        <v>2014</v>
      </c>
      <c r="P7" s="210">
        <f t="shared" si="0"/>
        <v>2015</v>
      </c>
      <c r="Q7" s="210">
        <f t="shared" si="0"/>
        <v>2016</v>
      </c>
      <c r="R7" s="210">
        <f t="shared" si="0"/>
        <v>2017</v>
      </c>
      <c r="S7" s="210">
        <f t="shared" si="0"/>
        <v>2018</v>
      </c>
      <c r="T7" s="210">
        <f t="shared" si="0"/>
        <v>2019</v>
      </c>
      <c r="U7" s="210">
        <f t="shared" si="0"/>
        <v>2020</v>
      </c>
      <c r="V7" s="210">
        <f t="shared" si="0"/>
        <v>2021</v>
      </c>
      <c r="W7" s="210">
        <f t="shared" si="0"/>
        <v>2022</v>
      </c>
      <c r="X7" s="210">
        <f t="shared" si="0"/>
        <v>2023</v>
      </c>
      <c r="Y7" s="210">
        <f t="shared" si="0"/>
        <v>2024</v>
      </c>
      <c r="Z7" s="210">
        <f t="shared" si="0"/>
        <v>2025</v>
      </c>
      <c r="AA7" s="210">
        <f t="shared" si="0"/>
        <v>2026</v>
      </c>
      <c r="AB7" s="210">
        <f t="shared" si="0"/>
        <v>2027</v>
      </c>
      <c r="AC7" s="210">
        <f t="shared" si="0"/>
        <v>2028</v>
      </c>
      <c r="AD7" s="210">
        <f t="shared" si="0"/>
        <v>2029</v>
      </c>
      <c r="AE7" s="210">
        <f t="shared" si="0"/>
        <v>2030</v>
      </c>
      <c r="AF7" s="210">
        <f t="shared" si="0"/>
        <v>2031</v>
      </c>
      <c r="AG7"/>
      <c r="AH7" s="11"/>
    </row>
    <row r="8" spans="1:40" s="50" customFormat="1">
      <c r="A8" s="389"/>
      <c r="B8" s="388">
        <f>IS!C8</f>
        <v>37256</v>
      </c>
      <c r="C8" s="388">
        <f>IS!D8</f>
        <v>37621</v>
      </c>
      <c r="D8" s="388">
        <f>IS!E8</f>
        <v>37986</v>
      </c>
      <c r="E8" s="388">
        <f>IS!F8</f>
        <v>38352</v>
      </c>
      <c r="F8" s="388">
        <f>IS!G8</f>
        <v>38717</v>
      </c>
      <c r="G8" s="388">
        <f>IS!H8</f>
        <v>39082</v>
      </c>
      <c r="H8" s="388">
        <f>IS!I8</f>
        <v>39447</v>
      </c>
      <c r="I8" s="388">
        <f>IS!J8</f>
        <v>39813</v>
      </c>
      <c r="J8" s="388">
        <f>IS!K8</f>
        <v>40178</v>
      </c>
      <c r="K8" s="388">
        <f>IS!L8</f>
        <v>40543</v>
      </c>
      <c r="L8" s="388">
        <f>IS!M8</f>
        <v>40908</v>
      </c>
      <c r="M8" s="388">
        <f>IS!N8</f>
        <v>41274</v>
      </c>
      <c r="N8" s="388">
        <f>IS!O8</f>
        <v>41639</v>
      </c>
      <c r="O8" s="388">
        <f>IS!P8</f>
        <v>42004</v>
      </c>
      <c r="P8" s="388">
        <f>IS!Q8</f>
        <v>42369</v>
      </c>
      <c r="Q8" s="388">
        <f>IS!R8</f>
        <v>42735</v>
      </c>
      <c r="R8" s="388">
        <f>IS!S8</f>
        <v>43100</v>
      </c>
      <c r="S8" s="388">
        <f>IS!T8</f>
        <v>43465</v>
      </c>
      <c r="T8" s="388">
        <f>IS!U8</f>
        <v>43830</v>
      </c>
      <c r="U8" s="388">
        <f>IS!V8</f>
        <v>44196</v>
      </c>
      <c r="V8" s="388">
        <f>IS!W8</f>
        <v>44561</v>
      </c>
      <c r="W8" s="388">
        <f>IS!X8</f>
        <v>44926</v>
      </c>
      <c r="X8" s="388">
        <f>IS!Y8</f>
        <v>45291</v>
      </c>
      <c r="Y8" s="388">
        <f>IS!Z8</f>
        <v>45657</v>
      </c>
      <c r="Z8" s="388">
        <f>IS!AA8</f>
        <v>46022</v>
      </c>
      <c r="AA8" s="388">
        <f>IS!AB8</f>
        <v>46387</v>
      </c>
      <c r="AB8" s="388">
        <f>IS!AC8</f>
        <v>46752</v>
      </c>
      <c r="AC8" s="388">
        <f>IS!AD8</f>
        <v>47118</v>
      </c>
      <c r="AD8" s="388">
        <f>IS!AE8</f>
        <v>47483</v>
      </c>
      <c r="AE8" s="388">
        <f>IS!AF8</f>
        <v>47848</v>
      </c>
      <c r="AF8" s="388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1" t="s">
        <v>378</v>
      </c>
      <c r="B11" s="382">
        <f>B29+B38</f>
        <v>4193.7049180327867</v>
      </c>
      <c r="C11" s="382">
        <f t="shared" ref="C11:AF11" si="1">C29+C38</f>
        <v>10025.166314843926</v>
      </c>
      <c r="D11" s="382">
        <f t="shared" si="1"/>
        <v>10032</v>
      </c>
      <c r="E11" s="382">
        <f t="shared" si="1"/>
        <v>10038.833685156074</v>
      </c>
      <c r="F11" s="382">
        <f t="shared" si="1"/>
        <v>10025.166314843926</v>
      </c>
      <c r="G11" s="382">
        <f t="shared" si="1"/>
        <v>10032</v>
      </c>
      <c r="H11" s="382">
        <f t="shared" si="1"/>
        <v>10032</v>
      </c>
      <c r="I11" s="382">
        <f t="shared" si="1"/>
        <v>10038.833685156074</v>
      </c>
      <c r="J11" s="382">
        <f t="shared" si="1"/>
        <v>10025.166314843926</v>
      </c>
      <c r="K11" s="382">
        <f t="shared" si="1"/>
        <v>10032</v>
      </c>
      <c r="L11" s="382">
        <f t="shared" si="1"/>
        <v>10032</v>
      </c>
      <c r="M11" s="382">
        <f t="shared" si="1"/>
        <v>10038.833685156074</v>
      </c>
      <c r="N11" s="382">
        <f t="shared" si="1"/>
        <v>10025.166314843926</v>
      </c>
      <c r="O11" s="382">
        <f t="shared" si="1"/>
        <v>10032</v>
      </c>
      <c r="P11" s="457">
        <f t="shared" si="1"/>
        <v>10032</v>
      </c>
      <c r="Q11" s="382">
        <f t="shared" si="1"/>
        <v>10038.833685156074</v>
      </c>
      <c r="R11" s="382">
        <f t="shared" si="1"/>
        <v>10025.166314843926</v>
      </c>
      <c r="S11" s="382">
        <f t="shared" si="1"/>
        <v>10032</v>
      </c>
      <c r="T11" s="382">
        <f t="shared" si="1"/>
        <v>10032</v>
      </c>
      <c r="U11" s="382">
        <f t="shared" si="1"/>
        <v>10038.833685156074</v>
      </c>
      <c r="V11" s="382">
        <f t="shared" si="1"/>
        <v>5500.9016103310641</v>
      </c>
      <c r="W11" s="382">
        <f t="shared" si="1"/>
        <v>998.54450394565868</v>
      </c>
      <c r="X11" s="382">
        <f t="shared" si="1"/>
        <v>0</v>
      </c>
      <c r="Y11" s="382">
        <f t="shared" si="1"/>
        <v>0</v>
      </c>
      <c r="Z11" s="382">
        <f t="shared" si="1"/>
        <v>0</v>
      </c>
      <c r="AA11" s="382">
        <f t="shared" si="1"/>
        <v>0</v>
      </c>
      <c r="AB11" s="382">
        <f t="shared" si="1"/>
        <v>0</v>
      </c>
      <c r="AC11" s="382">
        <f t="shared" si="1"/>
        <v>0</v>
      </c>
      <c r="AD11" s="382">
        <f t="shared" si="1"/>
        <v>0</v>
      </c>
      <c r="AE11" s="382">
        <f t="shared" si="1"/>
        <v>0</v>
      </c>
      <c r="AF11" s="457">
        <f t="shared" si="1"/>
        <v>0</v>
      </c>
      <c r="AG11"/>
      <c r="AN11" s="517">
        <f>IF(MONTH(C23)=MONTH(Assumptions!G35),1,2)</f>
        <v>1</v>
      </c>
    </row>
    <row r="12" spans="1:40">
      <c r="A12" s="383" t="s">
        <v>0</v>
      </c>
      <c r="B12" s="379">
        <v>1.3</v>
      </c>
      <c r="C12" s="379">
        <v>1.3</v>
      </c>
      <c r="D12" s="379">
        <v>1.3</v>
      </c>
      <c r="E12" s="379">
        <v>1.3</v>
      </c>
      <c r="F12" s="379">
        <v>1.3</v>
      </c>
      <c r="G12" s="379">
        <v>1.3</v>
      </c>
      <c r="H12" s="379">
        <v>1.3</v>
      </c>
      <c r="I12" s="379">
        <v>1.3</v>
      </c>
      <c r="J12" s="379">
        <v>1.3</v>
      </c>
      <c r="K12" s="379">
        <v>1.3</v>
      </c>
      <c r="L12" s="379">
        <v>1.3</v>
      </c>
      <c r="M12" s="379">
        <v>1.3</v>
      </c>
      <c r="N12" s="379">
        <v>1.3</v>
      </c>
      <c r="O12" s="379">
        <v>1.3</v>
      </c>
      <c r="P12" s="384">
        <v>1.3</v>
      </c>
      <c r="Q12" s="379">
        <v>1.3</v>
      </c>
      <c r="R12" s="379">
        <v>1.3</v>
      </c>
      <c r="S12" s="379">
        <v>1.3</v>
      </c>
      <c r="T12" s="379">
        <v>1.3</v>
      </c>
      <c r="U12" s="379">
        <v>1.3</v>
      </c>
      <c r="V12" s="379">
        <v>1.3</v>
      </c>
      <c r="W12" s="379">
        <v>1.3</v>
      </c>
      <c r="X12" s="379">
        <v>1.3</v>
      </c>
      <c r="Y12" s="379">
        <v>1.3</v>
      </c>
      <c r="Z12" s="379">
        <v>1.3</v>
      </c>
      <c r="AA12" s="379">
        <v>1.3</v>
      </c>
      <c r="AB12" s="379">
        <v>1.3</v>
      </c>
      <c r="AC12" s="379">
        <v>1.3</v>
      </c>
      <c r="AD12" s="379">
        <v>1.3</v>
      </c>
      <c r="AE12" s="379">
        <v>1.3</v>
      </c>
      <c r="AF12" s="384">
        <v>1.3</v>
      </c>
      <c r="AG12"/>
      <c r="AN12" s="517">
        <f>IF(AN11=1,6,15)</f>
        <v>6</v>
      </c>
    </row>
    <row r="13" spans="1:40">
      <c r="A13" s="385" t="s">
        <v>314</v>
      </c>
      <c r="B13" s="301">
        <f>B11/B12</f>
        <v>3225.9268600252203</v>
      </c>
      <c r="C13" s="301">
        <f t="shared" ref="C13:AF13" si="2">C11/C12</f>
        <v>7711.6663960337883</v>
      </c>
      <c r="D13" s="301">
        <f t="shared" si="2"/>
        <v>7716.9230769230762</v>
      </c>
      <c r="E13" s="301">
        <f t="shared" si="2"/>
        <v>7722.1797578123642</v>
      </c>
      <c r="F13" s="301">
        <f t="shared" si="2"/>
        <v>7711.6663960337883</v>
      </c>
      <c r="G13" s="301">
        <f t="shared" si="2"/>
        <v>7716.9230769230762</v>
      </c>
      <c r="H13" s="301">
        <f t="shared" si="2"/>
        <v>7716.9230769230762</v>
      </c>
      <c r="I13" s="301">
        <f t="shared" si="2"/>
        <v>7722.1797578123642</v>
      </c>
      <c r="J13" s="301">
        <f t="shared" si="2"/>
        <v>7711.6663960337883</v>
      </c>
      <c r="K13" s="301">
        <f t="shared" si="2"/>
        <v>7716.9230769230762</v>
      </c>
      <c r="L13" s="301">
        <f t="shared" si="2"/>
        <v>7716.9230769230762</v>
      </c>
      <c r="M13" s="301">
        <f t="shared" si="2"/>
        <v>7722.1797578123642</v>
      </c>
      <c r="N13" s="301">
        <f t="shared" si="2"/>
        <v>7711.6663960337883</v>
      </c>
      <c r="O13" s="301">
        <f t="shared" si="2"/>
        <v>7716.9230769230762</v>
      </c>
      <c r="P13" s="386">
        <f t="shared" si="2"/>
        <v>7716.9230769230762</v>
      </c>
      <c r="Q13" s="301">
        <f t="shared" si="2"/>
        <v>7722.1797578123642</v>
      </c>
      <c r="R13" s="301">
        <f t="shared" si="2"/>
        <v>7711.6663960337883</v>
      </c>
      <c r="S13" s="301">
        <f t="shared" si="2"/>
        <v>7716.9230769230762</v>
      </c>
      <c r="T13" s="301">
        <f t="shared" si="2"/>
        <v>7716.9230769230762</v>
      </c>
      <c r="U13" s="301">
        <f t="shared" si="2"/>
        <v>7722.1797578123642</v>
      </c>
      <c r="V13" s="301">
        <f t="shared" si="2"/>
        <v>4231.4627771777414</v>
      </c>
      <c r="W13" s="301">
        <f t="shared" si="2"/>
        <v>768.11115688127586</v>
      </c>
      <c r="X13" s="301">
        <f t="shared" si="2"/>
        <v>0</v>
      </c>
      <c r="Y13" s="301">
        <f t="shared" si="2"/>
        <v>0</v>
      </c>
      <c r="Z13" s="301">
        <f t="shared" si="2"/>
        <v>0</v>
      </c>
      <c r="AA13" s="301">
        <f t="shared" si="2"/>
        <v>0</v>
      </c>
      <c r="AB13" s="301">
        <f t="shared" si="2"/>
        <v>0</v>
      </c>
      <c r="AC13" s="301">
        <f t="shared" si="2"/>
        <v>0</v>
      </c>
      <c r="AD13" s="301">
        <f t="shared" si="2"/>
        <v>0</v>
      </c>
      <c r="AE13" s="301">
        <f t="shared" si="2"/>
        <v>0</v>
      </c>
      <c r="AF13" s="386">
        <f t="shared" si="2"/>
        <v>0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1"/>
      <c r="C16" s="65"/>
      <c r="AG16"/>
    </row>
    <row r="17" spans="1:33">
      <c r="A17" s="53"/>
      <c r="B17" s="221"/>
      <c r="C17" s="519"/>
      <c r="AG17"/>
    </row>
    <row r="18" spans="1:33">
      <c r="A18" s="53"/>
      <c r="B18" s="221"/>
      <c r="AG18"/>
    </row>
    <row r="19" spans="1:33">
      <c r="A19" s="11" t="s">
        <v>337</v>
      </c>
      <c r="B19" s="392">
        <v>80017.632758491978</v>
      </c>
      <c r="S19" s="18"/>
      <c r="AF19" s="65"/>
      <c r="AG19"/>
    </row>
    <row r="20" spans="1:33">
      <c r="A20" s="11" t="s">
        <v>336</v>
      </c>
      <c r="B20" s="397">
        <f>HLOOKUP(Assumptions!G35,B23:AF39,AN12)</f>
        <v>39154.690963459027</v>
      </c>
      <c r="AF20" s="51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7">
        <v>36982</v>
      </c>
      <c r="C23" s="387">
        <v>37347</v>
      </c>
      <c r="D23" s="387">
        <v>37712</v>
      </c>
      <c r="E23" s="387">
        <v>38078</v>
      </c>
      <c r="F23" s="387">
        <v>38443</v>
      </c>
      <c r="G23" s="387">
        <v>38808</v>
      </c>
      <c r="H23" s="387">
        <v>39173</v>
      </c>
      <c r="I23" s="387">
        <v>39539</v>
      </c>
      <c r="J23" s="387">
        <v>39904</v>
      </c>
      <c r="K23" s="387">
        <v>40269</v>
      </c>
      <c r="L23" s="387">
        <v>40634</v>
      </c>
      <c r="M23" s="387">
        <v>41000</v>
      </c>
      <c r="N23" s="387">
        <v>41365</v>
      </c>
      <c r="O23" s="387">
        <v>41730</v>
      </c>
      <c r="P23" s="387">
        <v>42095</v>
      </c>
      <c r="Q23" s="387">
        <v>42461</v>
      </c>
      <c r="R23" s="387">
        <v>42826</v>
      </c>
      <c r="S23" s="387">
        <v>43191</v>
      </c>
      <c r="T23" s="387">
        <v>43556</v>
      </c>
      <c r="U23" s="387">
        <v>43922</v>
      </c>
      <c r="V23" s="387">
        <v>44287</v>
      </c>
      <c r="W23" s="387">
        <v>44652</v>
      </c>
      <c r="X23" s="387">
        <v>45017</v>
      </c>
      <c r="Y23" s="387">
        <v>45383</v>
      </c>
      <c r="Z23" s="387">
        <v>45748</v>
      </c>
      <c r="AA23" s="387">
        <v>46113</v>
      </c>
      <c r="AB23" s="387">
        <v>46478</v>
      </c>
      <c r="AC23" s="387">
        <v>46844</v>
      </c>
      <c r="AD23" s="387">
        <v>47209</v>
      </c>
      <c r="AE23" s="387">
        <v>47574</v>
      </c>
      <c r="AF23" s="387">
        <v>47939</v>
      </c>
      <c r="AG23" s="520">
        <v>47969</v>
      </c>
    </row>
    <row r="24" spans="1:33">
      <c r="A24" s="48" t="s">
        <v>55</v>
      </c>
      <c r="B24"/>
      <c r="C24" s="48">
        <f>B45</f>
        <v>79473.200285773913</v>
      </c>
      <c r="D24" s="48">
        <f t="shared" ref="D24:AF24" si="3">C45</f>
        <v>78090.761728602898</v>
      </c>
      <c r="E24" s="48">
        <f t="shared" si="3"/>
        <v>76591.282564244117</v>
      </c>
      <c r="F24" s="48">
        <f t="shared" si="3"/>
        <v>74968.848671860542</v>
      </c>
      <c r="G24" s="48">
        <f t="shared" si="3"/>
        <v>73215.734242327759</v>
      </c>
      <c r="H24" s="48">
        <f t="shared" si="3"/>
        <v>71318.45289363683</v>
      </c>
      <c r="I24" s="48">
        <f t="shared" si="3"/>
        <v>69266.353409678602</v>
      </c>
      <c r="J24" s="48">
        <f t="shared" si="3"/>
        <v>67045.79015864915</v>
      </c>
      <c r="K24" s="48">
        <f t="shared" si="3"/>
        <v>64646.603335464744</v>
      </c>
      <c r="L24" s="48">
        <f t="shared" si="3"/>
        <v>62050.08100768696</v>
      </c>
      <c r="M24" s="48">
        <f t="shared" si="3"/>
        <v>59241.682489146122</v>
      </c>
      <c r="N24" s="48">
        <f t="shared" si="3"/>
        <v>56202.537943771073</v>
      </c>
      <c r="O24" s="48">
        <f t="shared" si="3"/>
        <v>52919.156475077849</v>
      </c>
      <c r="P24" s="48">
        <f t="shared" si="3"/>
        <v>49365.674624336294</v>
      </c>
      <c r="Q24" s="48">
        <f t="shared" si="3"/>
        <v>45522.228697250692</v>
      </c>
      <c r="R24" s="48">
        <f t="shared" si="3"/>
        <v>41362.799173774074</v>
      </c>
      <c r="S24" s="48">
        <f t="shared" si="3"/>
        <v>36869.336329017584</v>
      </c>
      <c r="T24" s="48">
        <f t="shared" si="3"/>
        <v>32006.189347111969</v>
      </c>
      <c r="U24" s="48">
        <f t="shared" si="3"/>
        <v>26746.209629888075</v>
      </c>
      <c r="V24" s="48">
        <f t="shared" si="3"/>
        <v>21053.592821496302</v>
      </c>
      <c r="W24" s="48">
        <f t="shared" si="3"/>
        <v>18454.048513168054</v>
      </c>
      <c r="X24" s="48">
        <f t="shared" si="3"/>
        <v>19176.383181912439</v>
      </c>
      <c r="Y24" s="48">
        <f t="shared" si="3"/>
        <v>20741.17581925277</v>
      </c>
      <c r="Z24" s="48">
        <f t="shared" si="3"/>
        <v>22434.831270186161</v>
      </c>
      <c r="AA24" s="48">
        <f t="shared" si="3"/>
        <v>24264.241606577121</v>
      </c>
      <c r="AB24" s="48">
        <f t="shared" si="3"/>
        <v>26244.203430266145</v>
      </c>
      <c r="AC24" s="48">
        <f t="shared" si="3"/>
        <v>28385.730114989328</v>
      </c>
      <c r="AD24" s="48">
        <f t="shared" si="3"/>
        <v>30703.614450811314</v>
      </c>
      <c r="AE24" s="48">
        <f t="shared" si="3"/>
        <v>33207.288713586859</v>
      </c>
      <c r="AF24" s="48">
        <f t="shared" si="3"/>
        <v>35917.003073804051</v>
      </c>
      <c r="AG24"/>
    </row>
    <row r="25" spans="1:33">
      <c r="A25" s="48" t="s">
        <v>315</v>
      </c>
      <c r="B25"/>
      <c r="C25" s="377">
        <v>0</v>
      </c>
      <c r="D25" s="377">
        <v>0</v>
      </c>
      <c r="E25" s="377">
        <v>0</v>
      </c>
      <c r="F25" s="377">
        <v>0</v>
      </c>
      <c r="G25" s="377">
        <v>0</v>
      </c>
      <c r="H25" s="377">
        <v>0</v>
      </c>
      <c r="I25" s="377">
        <v>0</v>
      </c>
      <c r="J25" s="377">
        <v>0</v>
      </c>
      <c r="K25" s="377">
        <v>0</v>
      </c>
      <c r="L25" s="377">
        <v>0</v>
      </c>
      <c r="M25" s="377">
        <v>0</v>
      </c>
      <c r="N25" s="377">
        <v>0</v>
      </c>
      <c r="O25" s="377">
        <v>0</v>
      </c>
      <c r="P25" s="377">
        <v>0</v>
      </c>
      <c r="Q25" s="377">
        <v>0</v>
      </c>
      <c r="R25" s="377">
        <v>0</v>
      </c>
      <c r="S25" s="377">
        <v>0</v>
      </c>
      <c r="T25" s="377">
        <v>0</v>
      </c>
      <c r="U25" s="377">
        <v>0</v>
      </c>
      <c r="V25" s="377">
        <v>0</v>
      </c>
      <c r="W25" s="377">
        <v>0</v>
      </c>
      <c r="X25" s="377">
        <v>0</v>
      </c>
      <c r="Y25" s="377">
        <v>0</v>
      </c>
      <c r="Z25" s="377">
        <v>0</v>
      </c>
      <c r="AA25" s="377">
        <v>0</v>
      </c>
      <c r="AB25" s="377">
        <v>0</v>
      </c>
      <c r="AC25" s="377">
        <v>0</v>
      </c>
      <c r="AD25" s="377">
        <v>0</v>
      </c>
      <c r="AE25" s="377">
        <v>0</v>
      </c>
      <c r="AF25" s="377">
        <v>0</v>
      </c>
      <c r="AG25"/>
    </row>
    <row r="26" spans="1:33">
      <c r="A26" s="48" t="s">
        <v>56</v>
      </c>
      <c r="B26"/>
      <c r="C26" s="48">
        <f t="shared" ref="C26:AF26" si="4">C24-C28</f>
        <v>686.69952659094997</v>
      </c>
      <c r="D26" s="48">
        <f t="shared" si="4"/>
        <v>743.38896101369755</v>
      </c>
      <c r="E26" s="48">
        <f t="shared" si="4"/>
        <v>793.26472696842393</v>
      </c>
      <c r="F26" s="48">
        <f t="shared" si="4"/>
        <v>869.38045005621098</v>
      </c>
      <c r="G26" s="48">
        <f t="shared" si="4"/>
        <v>937.85581087716855</v>
      </c>
      <c r="H26" s="48">
        <f t="shared" si="4"/>
        <v>1013.539143581118</v>
      </c>
      <c r="I26" s="48">
        <f t="shared" si="4"/>
        <v>1086.6610658754071</v>
      </c>
      <c r="J26" s="48">
        <f t="shared" si="4"/>
        <v>1185.0027423579304</v>
      </c>
      <c r="K26" s="48">
        <f t="shared" si="4"/>
        <v>1279.6819643125928</v>
      </c>
      <c r="L26" s="48">
        <f t="shared" si="4"/>
        <v>1383.2583070316105</v>
      </c>
      <c r="M26" s="48">
        <f t="shared" si="4"/>
        <v>1488.1941981103009</v>
      </c>
      <c r="N26" s="48">
        <f t="shared" si="4"/>
        <v>1616.9536252598991</v>
      </c>
      <c r="O26" s="48">
        <f t="shared" si="4"/>
        <v>1747.4946390721379</v>
      </c>
      <c r="P26" s="48">
        <f t="shared" si="4"/>
        <v>1889.2444904332151</v>
      </c>
      <c r="Q26" s="48">
        <f t="shared" si="4"/>
        <v>2037.719992750448</v>
      </c>
      <c r="R26" s="48">
        <f t="shared" si="4"/>
        <v>2208.1082103150475</v>
      </c>
      <c r="S26" s="48">
        <f t="shared" si="4"/>
        <v>2387.7285605149737</v>
      </c>
      <c r="T26" s="48">
        <f t="shared" si="4"/>
        <v>2581.7214921767445</v>
      </c>
      <c r="U26" s="48">
        <f t="shared" si="4"/>
        <v>2789.7839564241476</v>
      </c>
      <c r="V26" s="48">
        <f t="shared" si="4"/>
        <v>1277.0422363596554</v>
      </c>
      <c r="W26" s="48">
        <f t="shared" si="4"/>
        <v>-352.08400060518761</v>
      </c>
      <c r="X26" s="48">
        <f t="shared" si="4"/>
        <v>-764.95380583190126</v>
      </c>
      <c r="Y26" s="48">
        <f t="shared" si="4"/>
        <v>-830.77732515699972</v>
      </c>
      <c r="Z26" s="48">
        <f t="shared" si="4"/>
        <v>-893.71205085653492</v>
      </c>
      <c r="AA26" s="48">
        <f t="shared" si="4"/>
        <v>-967.91056929250044</v>
      </c>
      <c r="AB26" s="48">
        <f t="shared" si="4"/>
        <v>-1046.8920601223945</v>
      </c>
      <c r="AC26" s="48">
        <f t="shared" si="4"/>
        <v>-1136.9760877138579</v>
      </c>
      <c r="AD26" s="48">
        <f t="shared" si="4"/>
        <v>-1223.1066019207537</v>
      </c>
      <c r="AE26" s="48">
        <f t="shared" si="4"/>
        <v>-1324.6523936159647</v>
      </c>
      <c r="AF26" s="48">
        <f t="shared" si="4"/>
        <v>-1432.7440130262694</v>
      </c>
      <c r="AG26"/>
    </row>
    <row r="27" spans="1:33">
      <c r="A27" s="48" t="s">
        <v>57</v>
      </c>
      <c r="B27"/>
      <c r="C27" s="380">
        <f t="shared" ref="C27:AF27" si="5">C24*(C23-B41)/(C41-B41)*$E$64</f>
        <v>1585.1093098094084</v>
      </c>
      <c r="D27" s="380">
        <f t="shared" si="5"/>
        <v>1557.5362887239153</v>
      </c>
      <c r="E27" s="380">
        <f t="shared" si="5"/>
        <v>1540.1962832591164</v>
      </c>
      <c r="F27" s="380">
        <f t="shared" si="5"/>
        <v>1495.2690913182048</v>
      </c>
      <c r="G27" s="380">
        <f t="shared" si="5"/>
        <v>1460.3028637921811</v>
      </c>
      <c r="H27" s="380">
        <f t="shared" si="5"/>
        <v>1422.4611974402087</v>
      </c>
      <c r="I27" s="380">
        <f t="shared" si="5"/>
        <v>1392.8971614623895</v>
      </c>
      <c r="J27" s="380">
        <f t="shared" si="5"/>
        <v>1337.2420612464816</v>
      </c>
      <c r="K27" s="380">
        <f t="shared" si="5"/>
        <v>1289.389787074475</v>
      </c>
      <c r="L27" s="380">
        <f t="shared" si="5"/>
        <v>1237.6016157149618</v>
      </c>
      <c r="M27" s="380">
        <f t="shared" si="5"/>
        <v>1191.3081506014084</v>
      </c>
      <c r="N27" s="380">
        <f t="shared" si="5"/>
        <v>1120.9711677552148</v>
      </c>
      <c r="O27" s="380">
        <f t="shared" si="5"/>
        <v>1055.4834496947033</v>
      </c>
      <c r="P27" s="380">
        <f t="shared" si="5"/>
        <v>984.60852401415946</v>
      </c>
      <c r="Q27" s="380">
        <f t="shared" si="5"/>
        <v>915.41968090646208</v>
      </c>
      <c r="R27" s="380">
        <f t="shared" si="5"/>
        <v>824.98952872623352</v>
      </c>
      <c r="S27" s="380">
        <f t="shared" si="5"/>
        <v>735.36648897328212</v>
      </c>
      <c r="T27" s="380">
        <f t="shared" si="5"/>
        <v>638.3700231423976</v>
      </c>
      <c r="U27" s="380">
        <f t="shared" si="5"/>
        <v>537.84727561742136</v>
      </c>
      <c r="V27" s="380">
        <f t="shared" si="5"/>
        <v>419.91823490546051</v>
      </c>
      <c r="W27" s="380">
        <f t="shared" si="5"/>
        <v>368.0697895229136</v>
      </c>
      <c r="X27" s="380">
        <f t="shared" si="5"/>
        <v>382.47690291595217</v>
      </c>
      <c r="Y27" s="380">
        <f t="shared" si="5"/>
        <v>417.09031155655845</v>
      </c>
      <c r="Z27" s="380">
        <f t="shared" si="5"/>
        <v>447.46731958069932</v>
      </c>
      <c r="AA27" s="380">
        <f t="shared" si="5"/>
        <v>483.9552846462505</v>
      </c>
      <c r="AB27" s="380">
        <f t="shared" si="5"/>
        <v>523.44603006119883</v>
      </c>
      <c r="AC27" s="380">
        <f t="shared" si="5"/>
        <v>570.81686788612421</v>
      </c>
      <c r="AD27" s="380">
        <f t="shared" si="5"/>
        <v>612.38989918330515</v>
      </c>
      <c r="AE27" s="380">
        <f t="shared" si="5"/>
        <v>662.32619680797904</v>
      </c>
      <c r="AF27" s="380">
        <f t="shared" si="5"/>
        <v>716.37200651313276</v>
      </c>
      <c r="AG27"/>
    </row>
    <row r="28" spans="1:33">
      <c r="A28" s="48" t="s">
        <v>58</v>
      </c>
      <c r="B28"/>
      <c r="C28" s="160">
        <f t="shared" ref="C28:AF28" si="6">MAX(C24+C25+B44+C27-0.5*C13,0)</f>
        <v>78786.500759182964</v>
      </c>
      <c r="D28" s="160">
        <f t="shared" si="6"/>
        <v>77347.372767589201</v>
      </c>
      <c r="E28" s="160">
        <f t="shared" si="6"/>
        <v>75798.017837275693</v>
      </c>
      <c r="F28" s="160">
        <f t="shared" si="6"/>
        <v>74099.468221804331</v>
      </c>
      <c r="G28" s="160">
        <f t="shared" si="6"/>
        <v>72277.87843145059</v>
      </c>
      <c r="H28" s="160">
        <f t="shared" si="6"/>
        <v>70304.913750055712</v>
      </c>
      <c r="I28" s="160">
        <f t="shared" si="6"/>
        <v>68179.692343803195</v>
      </c>
      <c r="J28" s="160">
        <f t="shared" si="6"/>
        <v>65860.787416291219</v>
      </c>
      <c r="K28" s="160">
        <f t="shared" si="6"/>
        <v>63366.921371152152</v>
      </c>
      <c r="L28" s="160">
        <f t="shared" si="6"/>
        <v>60666.82270065535</v>
      </c>
      <c r="M28" s="160">
        <f t="shared" si="6"/>
        <v>57753.488291035821</v>
      </c>
      <c r="N28" s="160">
        <f t="shared" si="6"/>
        <v>54585.584318511173</v>
      </c>
      <c r="O28" s="160">
        <f t="shared" si="6"/>
        <v>51171.661836005711</v>
      </c>
      <c r="P28" s="160">
        <f t="shared" si="6"/>
        <v>47476.430133903079</v>
      </c>
      <c r="Q28" s="160">
        <f t="shared" si="6"/>
        <v>43484.508704500244</v>
      </c>
      <c r="R28" s="160">
        <f t="shared" si="6"/>
        <v>39154.690963459027</v>
      </c>
      <c r="S28" s="160">
        <f t="shared" si="6"/>
        <v>34481.60776850261</v>
      </c>
      <c r="T28" s="160">
        <f t="shared" si="6"/>
        <v>29424.467854935225</v>
      </c>
      <c r="U28" s="160">
        <f t="shared" si="6"/>
        <v>23956.425673463928</v>
      </c>
      <c r="V28" s="160">
        <f t="shared" si="6"/>
        <v>19776.550585136647</v>
      </c>
      <c r="W28" s="160">
        <f t="shared" si="6"/>
        <v>18806.132513773242</v>
      </c>
      <c r="X28" s="160">
        <f t="shared" si="6"/>
        <v>19941.33698774434</v>
      </c>
      <c r="Y28" s="160">
        <f t="shared" si="6"/>
        <v>21571.95314440977</v>
      </c>
      <c r="Z28" s="160">
        <f t="shared" si="6"/>
        <v>23328.543321042696</v>
      </c>
      <c r="AA28" s="160">
        <f t="shared" si="6"/>
        <v>25232.152175869622</v>
      </c>
      <c r="AB28" s="160">
        <f t="shared" si="6"/>
        <v>27291.095490388539</v>
      </c>
      <c r="AC28" s="160">
        <f t="shared" si="6"/>
        <v>29522.706202703186</v>
      </c>
      <c r="AD28" s="160">
        <f t="shared" si="6"/>
        <v>31926.721052732068</v>
      </c>
      <c r="AE28" s="160">
        <f t="shared" si="6"/>
        <v>34531.941107202823</v>
      </c>
      <c r="AF28" s="160">
        <f t="shared" si="6"/>
        <v>37349.747086830321</v>
      </c>
      <c r="AG28"/>
    </row>
    <row r="29" spans="1:33">
      <c r="A29" s="48" t="s">
        <v>317</v>
      </c>
      <c r="B29"/>
      <c r="C29" s="160">
        <f>(C23-B41)/(C41-B41)*IS!D32+(B41-B32)/(B41-Assumptions!H18)*IS!C32</f>
        <v>4995.4238490905009</v>
      </c>
      <c r="D29" s="160">
        <f>(D23-C41)/(D41-C41)*IS!E32+(C41-C32)/(C41-B41)*IS!D32</f>
        <v>5002.2575342465752</v>
      </c>
      <c r="E29" s="160">
        <f>(E23-D41)/(E41-D41)*IS!F32+(D41-D32)/(D41-C41)*IS!E32</f>
        <v>5022.8336851560744</v>
      </c>
      <c r="F29" s="160">
        <f>(F23-E41)/(F41-E41)*IS!G32+(E41-E32)/(E41-D41)*IS!F32</f>
        <v>4995.4238490905009</v>
      </c>
      <c r="G29" s="160">
        <f>(G23-F41)/(G41-F41)*IS!H32+(F41-F32)/(F41-E41)*IS!G32</f>
        <v>5002.2575342465752</v>
      </c>
      <c r="H29" s="160">
        <f>(H23-G41)/(H41-G41)*IS!I32+(G41-G32)/(G41-F41)*IS!H32</f>
        <v>5002.2575342465752</v>
      </c>
      <c r="I29" s="160">
        <f>(I23-H41)/(I41-H41)*IS!J32+(H41-H32)/(H41-G41)*IS!I32</f>
        <v>5022.8336851560744</v>
      </c>
      <c r="J29" s="160">
        <f>(J23-I41)/(J41-I41)*IS!K32+(I41-I32)/(I41-H41)*IS!J32</f>
        <v>4995.4238490905009</v>
      </c>
      <c r="K29" s="160">
        <f>(K23-J41)/(K41-J41)*IS!L32+(J41-J32)/(J41-I41)*IS!K32</f>
        <v>5002.2575342465752</v>
      </c>
      <c r="L29" s="160">
        <f>(L23-K41)/(L41-K41)*IS!M32+(K41-K32)/(K41-J41)*IS!L32</f>
        <v>5002.2575342465752</v>
      </c>
      <c r="M29" s="160">
        <f>(M23-L41)/(M41-L41)*IS!N32+(L41-L32)/(L41-K41)*IS!M32</f>
        <v>5022.8336851560744</v>
      </c>
      <c r="N29" s="160">
        <f>(N23-M41)/(N41-M41)*IS!O32+(M41-M32)/(M41-L41)*IS!N32</f>
        <v>4995.4238490905009</v>
      </c>
      <c r="O29" s="160">
        <f>(O23-N41)/(O41-N41)*IS!P32+(N41-N32)/(N41-M41)*IS!O32</f>
        <v>5002.2575342465752</v>
      </c>
      <c r="P29" s="160">
        <f>(P23-O41)/(P41-O41)*IS!Q32+(O41-O32)/(O41-N41)*IS!P32</f>
        <v>5002.2575342465752</v>
      </c>
      <c r="Q29" s="160">
        <f>(Q23-P41)/(Q41-P41)*IS!R32+(P41-P32)/(P41-O41)*IS!Q32</f>
        <v>5022.8336851560744</v>
      </c>
      <c r="R29" s="160">
        <f>(R23-Q41)/(R41-Q41)*IS!S32+(Q41-Q32)/(Q41-P41)*IS!R32</f>
        <v>4995.4238490905009</v>
      </c>
      <c r="S29" s="160">
        <f>(S23-R41)/(S41-R41)*IS!T32+(R41-R32)/(R41-Q41)*IS!S32</f>
        <v>5002.2575342465752</v>
      </c>
      <c r="T29" s="160">
        <f>(T23-S41)/(T41-S41)*IS!U32+(S41-S32)/(S41-R41)*IS!T32</f>
        <v>5002.2575342465752</v>
      </c>
      <c r="U29" s="160">
        <f>(U23-T41)/(U41-T41)*IS!V32+(T41-T32)/(T41-S41)*IS!U32</f>
        <v>5022.8336851560744</v>
      </c>
      <c r="V29" s="160">
        <f>(V23-U41)/(V41-U41)*IS!W32+(U41-U32)/(U41-T41)*IS!V32</f>
        <v>3492.8395859128718</v>
      </c>
      <c r="W29" s="160">
        <f>(W23-V41)/(W41-V41)*IS!X32+(V41-V32)/(V41-U41)*IS!W32</f>
        <v>998.54450394565868</v>
      </c>
      <c r="X29" s="160">
        <f>(X23-W41)/(X41-W41)*IS!Y32+(W41-W32)/(W41-V41)*IS!X32</f>
        <v>0</v>
      </c>
      <c r="Y29" s="160">
        <f>(Y23-X41)/(Y41-X41)*IS!Z32+(X41-X32)/(X41-W41)*IS!Y32</f>
        <v>0</v>
      </c>
      <c r="Z29" s="160">
        <f>(Z23-Y41)/(Z41-Y41)*IS!AA32+(Y41-Y32)/(Y41-X41)*IS!Z32</f>
        <v>0</v>
      </c>
      <c r="AA29" s="160">
        <f>(AA23-Z41)/(AA41-Z41)*IS!AB32+(Z41-Z32)/(Z41-Y41)*IS!AA32</f>
        <v>0</v>
      </c>
      <c r="AB29" s="160">
        <f>(AB23-AA41)/(AB41-AA41)*IS!AC32+(AA41-AA32)/(AA41-Z41)*IS!AB32</f>
        <v>0</v>
      </c>
      <c r="AC29" s="160">
        <f>(AC23-AB41)/(AC41-AB41)*IS!AD32+(AB41-AB32)/(AB41-AA41)*IS!AC32</f>
        <v>0</v>
      </c>
      <c r="AD29" s="160">
        <f>(AD23-AC41)/(AD41-AC41)*IS!AE32+(AC41-AC32)/(AC41-AB41)*IS!AD32</f>
        <v>0</v>
      </c>
      <c r="AE29" s="160">
        <f>(AE23-AD41)/(AE41-AD41)*IS!AF32+(AD41-AD32)/(AD41-AC41)*IS!AE32</f>
        <v>0</v>
      </c>
      <c r="AF29" s="160">
        <f>(AF23-AE41)/(AG23-AE41)*IS!AG32+(AE41-AE32)/(AE41-AD41)*IS!AF32</f>
        <v>0</v>
      </c>
      <c r="AG29"/>
    </row>
    <row r="30" spans="1:33">
      <c r="A30" s="400" t="s">
        <v>0</v>
      </c>
      <c r="B30" s="402"/>
      <c r="C30" s="401">
        <f>IF(C28&gt;0.1,C29/(C27+C26+B44)," ")</f>
        <v>1.295549779399102</v>
      </c>
      <c r="D30" s="401">
        <f t="shared" ref="D30:AF30" si="7">IF(D28&gt;0.1,D29/(D27+D26+C44)," ")</f>
        <v>1.2964383561643871</v>
      </c>
      <c r="E30" s="401">
        <f t="shared" si="7"/>
        <v>1.3008849425124054</v>
      </c>
      <c r="F30" s="401">
        <f t="shared" si="7"/>
        <v>1.2955497793990989</v>
      </c>
      <c r="G30" s="401">
        <f t="shared" si="7"/>
        <v>1.2964383561643862</v>
      </c>
      <c r="H30" s="401">
        <f t="shared" si="7"/>
        <v>1.2964383561643846</v>
      </c>
      <c r="I30" s="401">
        <f t="shared" si="7"/>
        <v>1.3008849425123994</v>
      </c>
      <c r="J30" s="401">
        <f t="shared" si="7"/>
        <v>1.2955497793990991</v>
      </c>
      <c r="K30" s="401">
        <f t="shared" si="7"/>
        <v>1.2964383561643822</v>
      </c>
      <c r="L30" s="401">
        <f t="shared" si="7"/>
        <v>1.2964383561643851</v>
      </c>
      <c r="M30" s="401">
        <f t="shared" si="7"/>
        <v>1.3008849425123978</v>
      </c>
      <c r="N30" s="401">
        <f t="shared" si="7"/>
        <v>1.2955497793990949</v>
      </c>
      <c r="O30" s="401">
        <f t="shared" si="7"/>
        <v>1.2964383561643815</v>
      </c>
      <c r="P30" s="401">
        <f t="shared" si="7"/>
        <v>1.2964383561643851</v>
      </c>
      <c r="Q30" s="401">
        <f t="shared" si="7"/>
        <v>1.3008849425123985</v>
      </c>
      <c r="R30" s="401">
        <f t="shared" si="7"/>
        <v>1.295549779399096</v>
      </c>
      <c r="S30" s="401">
        <f t="shared" si="7"/>
        <v>1.2964383561643837</v>
      </c>
      <c r="T30" s="401">
        <f t="shared" si="7"/>
        <v>1.2964383561643831</v>
      </c>
      <c r="U30" s="401">
        <f t="shared" si="7"/>
        <v>1.3008849425123978</v>
      </c>
      <c r="V30" s="401">
        <f t="shared" si="7"/>
        <v>1.6508899025421635</v>
      </c>
      <c r="W30" s="401">
        <f t="shared" si="7"/>
        <v>2.599999999999989</v>
      </c>
      <c r="X30" s="401">
        <f t="shared" si="7"/>
        <v>0</v>
      </c>
      <c r="Y30" s="401">
        <f t="shared" si="7"/>
        <v>0</v>
      </c>
      <c r="Z30" s="401">
        <f t="shared" si="7"/>
        <v>0</v>
      </c>
      <c r="AA30" s="401">
        <f t="shared" si="7"/>
        <v>0</v>
      </c>
      <c r="AB30" s="401">
        <f t="shared" si="7"/>
        <v>0</v>
      </c>
      <c r="AC30" s="401">
        <f t="shared" si="7"/>
        <v>0</v>
      </c>
      <c r="AD30" s="401">
        <f t="shared" si="7"/>
        <v>0</v>
      </c>
      <c r="AE30" s="401">
        <f t="shared" si="7"/>
        <v>0</v>
      </c>
      <c r="AF30" s="401">
        <f t="shared" si="7"/>
        <v>0</v>
      </c>
      <c r="AG30"/>
    </row>
    <row r="31" spans="1:33">
      <c r="A31" s="11"/>
      <c r="B31" s="376"/>
      <c r="C31" s="53"/>
      <c r="AG31"/>
    </row>
    <row r="32" spans="1:33">
      <c r="A32" s="399" t="s">
        <v>401</v>
      </c>
      <c r="B32" s="387">
        <v>37165</v>
      </c>
      <c r="C32" s="387">
        <v>37530</v>
      </c>
      <c r="D32" s="387">
        <v>37895</v>
      </c>
      <c r="E32" s="387">
        <v>38261</v>
      </c>
      <c r="F32" s="387">
        <v>38626</v>
      </c>
      <c r="G32" s="387">
        <v>38991</v>
      </c>
      <c r="H32" s="387">
        <v>39356</v>
      </c>
      <c r="I32" s="387">
        <v>39722</v>
      </c>
      <c r="J32" s="387">
        <v>40087</v>
      </c>
      <c r="K32" s="387">
        <v>40452</v>
      </c>
      <c r="L32" s="387">
        <v>40817</v>
      </c>
      <c r="M32" s="387">
        <v>41183</v>
      </c>
      <c r="N32" s="387">
        <v>41548</v>
      </c>
      <c r="O32" s="387">
        <v>41913</v>
      </c>
      <c r="P32" s="387">
        <v>42278</v>
      </c>
      <c r="Q32" s="387">
        <v>42644</v>
      </c>
      <c r="R32" s="387">
        <v>43009</v>
      </c>
      <c r="S32" s="387">
        <v>43374</v>
      </c>
      <c r="T32" s="387">
        <v>43739</v>
      </c>
      <c r="U32" s="387">
        <v>44105</v>
      </c>
      <c r="V32" s="387">
        <v>44470</v>
      </c>
      <c r="W32" s="387">
        <v>44835</v>
      </c>
      <c r="X32" s="387">
        <v>45200</v>
      </c>
      <c r="Y32" s="387">
        <v>45566</v>
      </c>
      <c r="Z32" s="387">
        <v>45931</v>
      </c>
      <c r="AA32" s="387">
        <v>46296</v>
      </c>
      <c r="AB32" s="387">
        <v>46661</v>
      </c>
      <c r="AC32" s="387">
        <v>47027</v>
      </c>
      <c r="AD32" s="387">
        <v>47392</v>
      </c>
      <c r="AE32" s="387">
        <v>47757</v>
      </c>
      <c r="AF32" s="387">
        <v>47969</v>
      </c>
      <c r="AG32"/>
    </row>
    <row r="33" spans="1:39">
      <c r="A33" s="48" t="s">
        <v>55</v>
      </c>
      <c r="B33" s="377">
        <f>B19</f>
        <v>80017.632758491978</v>
      </c>
      <c r="C33" s="48">
        <f>C28</f>
        <v>78786.500759182964</v>
      </c>
      <c r="D33" s="48">
        <f t="shared" ref="D33:AF33" si="8">D28</f>
        <v>77347.372767589201</v>
      </c>
      <c r="E33" s="48">
        <f t="shared" si="8"/>
        <v>75798.017837275693</v>
      </c>
      <c r="F33" s="48">
        <f t="shared" si="8"/>
        <v>74099.468221804331</v>
      </c>
      <c r="G33" s="48">
        <f t="shared" si="8"/>
        <v>72277.87843145059</v>
      </c>
      <c r="H33" s="48">
        <f t="shared" si="8"/>
        <v>70304.913750055712</v>
      </c>
      <c r="I33" s="48">
        <f t="shared" si="8"/>
        <v>68179.692343803195</v>
      </c>
      <c r="J33" s="48">
        <f t="shared" si="8"/>
        <v>65860.787416291219</v>
      </c>
      <c r="K33" s="48">
        <f t="shared" si="8"/>
        <v>63366.921371152152</v>
      </c>
      <c r="L33" s="48">
        <f t="shared" si="8"/>
        <v>60666.82270065535</v>
      </c>
      <c r="M33" s="48">
        <f t="shared" si="8"/>
        <v>57753.488291035821</v>
      </c>
      <c r="N33" s="48">
        <f t="shared" si="8"/>
        <v>54585.584318511173</v>
      </c>
      <c r="O33" s="48">
        <f t="shared" si="8"/>
        <v>51171.661836005711</v>
      </c>
      <c r="P33" s="48">
        <f t="shared" si="8"/>
        <v>47476.430133903079</v>
      </c>
      <c r="Q33" s="48">
        <f t="shared" si="8"/>
        <v>43484.508704500244</v>
      </c>
      <c r="R33" s="48">
        <f t="shared" si="8"/>
        <v>39154.690963459027</v>
      </c>
      <c r="S33" s="48">
        <f t="shared" si="8"/>
        <v>34481.60776850261</v>
      </c>
      <c r="T33" s="48">
        <f t="shared" si="8"/>
        <v>29424.467854935225</v>
      </c>
      <c r="U33" s="48">
        <f t="shared" si="8"/>
        <v>23956.425673463928</v>
      </c>
      <c r="V33" s="48">
        <f t="shared" si="8"/>
        <v>19776.550585136647</v>
      </c>
      <c r="W33" s="48">
        <f t="shared" si="8"/>
        <v>18806.132513773242</v>
      </c>
      <c r="X33" s="48">
        <f t="shared" si="8"/>
        <v>19941.33698774434</v>
      </c>
      <c r="Y33" s="48">
        <f t="shared" si="8"/>
        <v>21571.95314440977</v>
      </c>
      <c r="Z33" s="48">
        <f t="shared" si="8"/>
        <v>23328.543321042696</v>
      </c>
      <c r="AA33" s="48">
        <f t="shared" si="8"/>
        <v>25232.152175869622</v>
      </c>
      <c r="AB33" s="48">
        <f t="shared" si="8"/>
        <v>27291.095490388539</v>
      </c>
      <c r="AC33" s="48">
        <f t="shared" si="8"/>
        <v>29522.706202703186</v>
      </c>
      <c r="AD33" s="48">
        <f t="shared" si="8"/>
        <v>31926.721052732068</v>
      </c>
      <c r="AE33" s="48">
        <f t="shared" si="8"/>
        <v>34531.941107202823</v>
      </c>
      <c r="AF33" s="48">
        <f t="shared" si="8"/>
        <v>37349.747086830321</v>
      </c>
      <c r="AG33"/>
    </row>
    <row r="34" spans="1:39">
      <c r="A34" s="48" t="s">
        <v>315</v>
      </c>
      <c r="B34" s="377">
        <v>0</v>
      </c>
      <c r="C34" s="377">
        <v>0</v>
      </c>
      <c r="D34" s="377">
        <v>0</v>
      </c>
      <c r="E34" s="377">
        <v>0</v>
      </c>
      <c r="F34" s="377">
        <v>0</v>
      </c>
      <c r="G34" s="377">
        <v>0</v>
      </c>
      <c r="H34" s="377">
        <v>0</v>
      </c>
      <c r="I34" s="377">
        <v>0</v>
      </c>
      <c r="J34" s="377">
        <v>0</v>
      </c>
      <c r="K34" s="377">
        <v>0</v>
      </c>
      <c r="L34" s="377">
        <v>0</v>
      </c>
      <c r="M34" s="377">
        <v>0</v>
      </c>
      <c r="N34" s="377">
        <v>0</v>
      </c>
      <c r="O34" s="377">
        <v>0</v>
      </c>
      <c r="P34" s="377">
        <v>0</v>
      </c>
      <c r="Q34" s="377">
        <v>0</v>
      </c>
      <c r="R34" s="377">
        <v>0</v>
      </c>
      <c r="S34" s="377">
        <v>0</v>
      </c>
      <c r="T34" s="377">
        <v>0</v>
      </c>
      <c r="U34" s="377">
        <v>0</v>
      </c>
      <c r="V34" s="377">
        <v>0</v>
      </c>
      <c r="W34" s="377">
        <v>0</v>
      </c>
      <c r="X34" s="377">
        <v>0</v>
      </c>
      <c r="Y34" s="377">
        <v>0</v>
      </c>
      <c r="Z34" s="377">
        <v>0</v>
      </c>
      <c r="AA34" s="377">
        <v>0</v>
      </c>
      <c r="AB34" s="377">
        <v>0</v>
      </c>
      <c r="AC34" s="377">
        <v>0</v>
      </c>
      <c r="AD34" s="377">
        <v>0</v>
      </c>
      <c r="AE34" s="377">
        <v>0</v>
      </c>
      <c r="AF34" s="377">
        <v>0</v>
      </c>
      <c r="AG34"/>
    </row>
    <row r="35" spans="1:39">
      <c r="A35" s="48" t="s">
        <v>56</v>
      </c>
      <c r="B35" s="48">
        <f>B33-B37</f>
        <v>544.43247271806467</v>
      </c>
      <c r="C35" s="48">
        <f>C33-C37</f>
        <v>695.73903058006545</v>
      </c>
      <c r="D35" s="48">
        <f t="shared" ref="D35:AF35" si="9">D33-D37</f>
        <v>756.09020334508386</v>
      </c>
      <c r="E35" s="48">
        <f t="shared" si="9"/>
        <v>829.16916541515093</v>
      </c>
      <c r="F35" s="48">
        <f t="shared" si="9"/>
        <v>883.73397947657213</v>
      </c>
      <c r="G35" s="48">
        <f t="shared" si="9"/>
        <v>959.42553781376046</v>
      </c>
      <c r="H35" s="48">
        <f t="shared" si="9"/>
        <v>1038.5603403771092</v>
      </c>
      <c r="I35" s="48">
        <f t="shared" si="9"/>
        <v>1133.9021851540456</v>
      </c>
      <c r="J35" s="48">
        <f t="shared" si="9"/>
        <v>1214.1840808264751</v>
      </c>
      <c r="K35" s="48">
        <f t="shared" si="9"/>
        <v>1316.8403634651913</v>
      </c>
      <c r="L35" s="48">
        <f t="shared" si="9"/>
        <v>1425.1402115092278</v>
      </c>
      <c r="M35" s="48">
        <f t="shared" si="9"/>
        <v>1550.9503472647484</v>
      </c>
      <c r="N35" s="48">
        <f t="shared" si="9"/>
        <v>1666.4278434333246</v>
      </c>
      <c r="O35" s="48">
        <f t="shared" si="9"/>
        <v>1805.9872116694169</v>
      </c>
      <c r="P35" s="48">
        <f t="shared" si="9"/>
        <v>1954.2014366523872</v>
      </c>
      <c r="Q35" s="48">
        <f t="shared" si="9"/>
        <v>2121.7095307261698</v>
      </c>
      <c r="R35" s="48">
        <f t="shared" si="9"/>
        <v>2285.3546344414426</v>
      </c>
      <c r="S35" s="48">
        <f t="shared" si="9"/>
        <v>2475.418421390641</v>
      </c>
      <c r="T35" s="48">
        <f t="shared" si="9"/>
        <v>2678.2582250471496</v>
      </c>
      <c r="U35" s="48">
        <f t="shared" si="9"/>
        <v>2902.8328519676252</v>
      </c>
      <c r="V35" s="48">
        <f t="shared" si="9"/>
        <v>1322.5020719685926</v>
      </c>
      <c r="W35" s="48">
        <f t="shared" si="9"/>
        <v>-370.25066813919693</v>
      </c>
      <c r="X35" s="48">
        <f t="shared" si="9"/>
        <v>-799.8388315084303</v>
      </c>
      <c r="Y35" s="48">
        <f t="shared" si="9"/>
        <v>-862.87812577639124</v>
      </c>
      <c r="Z35" s="48">
        <f t="shared" si="9"/>
        <v>-935.69828553442494</v>
      </c>
      <c r="AA35" s="48">
        <f t="shared" si="9"/>
        <v>-1012.0512543965233</v>
      </c>
      <c r="AB35" s="48">
        <f t="shared" si="9"/>
        <v>-1094.6346246007888</v>
      </c>
      <c r="AC35" s="48">
        <f t="shared" si="9"/>
        <v>-1180.9082481081277</v>
      </c>
      <c r="AD35" s="48">
        <f t="shared" si="9"/>
        <v>-1280.567660854791</v>
      </c>
      <c r="AE35" s="48">
        <f t="shared" si="9"/>
        <v>-1385.0619666012281</v>
      </c>
      <c r="AF35" s="48">
        <f t="shared" si="9"/>
        <v>-245.58737810518505</v>
      </c>
      <c r="AG35"/>
    </row>
    <row r="36" spans="1:39">
      <c r="A36" s="48" t="s">
        <v>57</v>
      </c>
      <c r="B36" s="380">
        <f>B33*(B32-Assumptions!H18)/365.25*$E$64</f>
        <v>2681.4943873071647</v>
      </c>
      <c r="C36" s="380">
        <f t="shared" ref="C36:AF36" si="10">C33*(C32-C23)/(C41-B41)*$E$64</f>
        <v>3160.0941674368182</v>
      </c>
      <c r="D36" s="380">
        <f t="shared" si="10"/>
        <v>3102.3713351164552</v>
      </c>
      <c r="E36" s="380">
        <f t="shared" si="10"/>
        <v>3031.920713491028</v>
      </c>
      <c r="F36" s="380">
        <f t="shared" si="10"/>
        <v>2972.0992185403161</v>
      </c>
      <c r="G36" s="380">
        <f t="shared" si="10"/>
        <v>2899.0360006477713</v>
      </c>
      <c r="H36" s="380">
        <f t="shared" si="10"/>
        <v>2819.9011980844261</v>
      </c>
      <c r="I36" s="380">
        <f t="shared" si="10"/>
        <v>2727.1876937521279</v>
      </c>
      <c r="J36" s="380">
        <f t="shared" si="10"/>
        <v>2641.6491171904199</v>
      </c>
      <c r="K36" s="380">
        <f t="shared" si="10"/>
        <v>2541.6211749963495</v>
      </c>
      <c r="L36" s="380">
        <f t="shared" si="10"/>
        <v>2433.3213269523135</v>
      </c>
      <c r="M36" s="380">
        <f t="shared" si="10"/>
        <v>2310.1395316414328</v>
      </c>
      <c r="N36" s="380">
        <f t="shared" si="10"/>
        <v>2189.4053545835718</v>
      </c>
      <c r="O36" s="380">
        <f t="shared" si="10"/>
        <v>2052.4743267921194</v>
      </c>
      <c r="P36" s="380">
        <f t="shared" si="10"/>
        <v>1904.2601018091539</v>
      </c>
      <c r="Q36" s="380">
        <f t="shared" si="10"/>
        <v>1739.3803481800098</v>
      </c>
      <c r="R36" s="380">
        <f t="shared" si="10"/>
        <v>1570.4785635754524</v>
      </c>
      <c r="S36" s="380">
        <f t="shared" si="10"/>
        <v>1383.0431170708991</v>
      </c>
      <c r="T36" s="380">
        <f t="shared" si="10"/>
        <v>1180.203313414388</v>
      </c>
      <c r="U36" s="380">
        <f t="shared" si="10"/>
        <v>958.25702693855715</v>
      </c>
      <c r="V36" s="380">
        <f t="shared" si="10"/>
        <v>793.22931662027531</v>
      </c>
      <c r="W36" s="380">
        <f t="shared" si="10"/>
        <v>754.30624657983628</v>
      </c>
      <c r="X36" s="380">
        <f t="shared" si="10"/>
        <v>799.83883150843042</v>
      </c>
      <c r="Y36" s="380">
        <f t="shared" si="10"/>
        <v>862.87812577639079</v>
      </c>
      <c r="Z36" s="380">
        <f t="shared" si="10"/>
        <v>935.69828553442494</v>
      </c>
      <c r="AA36" s="380">
        <f t="shared" si="10"/>
        <v>1012.0512543965239</v>
      </c>
      <c r="AB36" s="380">
        <f t="shared" si="10"/>
        <v>1094.6346246007897</v>
      </c>
      <c r="AC36" s="380">
        <f t="shared" si="10"/>
        <v>1180.9082481081275</v>
      </c>
      <c r="AD36" s="380">
        <f t="shared" si="10"/>
        <v>1280.5676608547876</v>
      </c>
      <c r="AE36" s="380">
        <f t="shared" si="10"/>
        <v>1385.0619666012312</v>
      </c>
      <c r="AF36" s="380">
        <f t="shared" si="10"/>
        <v>245.58737810518568</v>
      </c>
      <c r="AG36"/>
    </row>
    <row r="37" spans="1:39">
      <c r="A37" s="48" t="s">
        <v>58</v>
      </c>
      <c r="B37" s="160">
        <f>MAX(B33+B34+B36-B13,0)</f>
        <v>79473.200285773913</v>
      </c>
      <c r="C37" s="160">
        <f>MAX(C33+C34+C36-0.5*C13,0)</f>
        <v>78090.761728602898</v>
      </c>
      <c r="D37" s="160">
        <f t="shared" ref="D37:AF37" si="11">MAX(D33+D34+D36-0.5*D13,0)</f>
        <v>76591.282564244117</v>
      </c>
      <c r="E37" s="160">
        <f t="shared" si="11"/>
        <v>74968.848671860542</v>
      </c>
      <c r="F37" s="160">
        <f t="shared" si="11"/>
        <v>73215.734242327759</v>
      </c>
      <c r="G37" s="160">
        <f t="shared" si="11"/>
        <v>71318.45289363683</v>
      </c>
      <c r="H37" s="160">
        <f t="shared" si="11"/>
        <v>69266.353409678602</v>
      </c>
      <c r="I37" s="160">
        <f t="shared" si="11"/>
        <v>67045.79015864915</v>
      </c>
      <c r="J37" s="160">
        <f t="shared" si="11"/>
        <v>64646.603335464744</v>
      </c>
      <c r="K37" s="160">
        <f t="shared" si="11"/>
        <v>62050.08100768696</v>
      </c>
      <c r="L37" s="160">
        <f t="shared" si="11"/>
        <v>59241.682489146122</v>
      </c>
      <c r="M37" s="160">
        <f t="shared" si="11"/>
        <v>56202.537943771073</v>
      </c>
      <c r="N37" s="160">
        <f t="shared" si="11"/>
        <v>52919.156475077849</v>
      </c>
      <c r="O37" s="160">
        <f t="shared" si="11"/>
        <v>49365.674624336294</v>
      </c>
      <c r="P37" s="160">
        <f t="shared" si="11"/>
        <v>45522.228697250692</v>
      </c>
      <c r="Q37" s="160">
        <f t="shared" si="11"/>
        <v>41362.799173774074</v>
      </c>
      <c r="R37" s="160">
        <f t="shared" si="11"/>
        <v>36869.336329017584</v>
      </c>
      <c r="S37" s="160">
        <f t="shared" si="11"/>
        <v>32006.189347111969</v>
      </c>
      <c r="T37" s="160">
        <f t="shared" si="11"/>
        <v>26746.209629888075</v>
      </c>
      <c r="U37" s="160">
        <f t="shared" si="11"/>
        <v>21053.592821496302</v>
      </c>
      <c r="V37" s="160">
        <f t="shared" si="11"/>
        <v>18454.048513168054</v>
      </c>
      <c r="W37" s="160">
        <f t="shared" si="11"/>
        <v>19176.383181912439</v>
      </c>
      <c r="X37" s="160">
        <f t="shared" si="11"/>
        <v>20741.17581925277</v>
      </c>
      <c r="Y37" s="160">
        <f t="shared" si="11"/>
        <v>22434.831270186161</v>
      </c>
      <c r="Z37" s="160">
        <f t="shared" si="11"/>
        <v>24264.241606577121</v>
      </c>
      <c r="AA37" s="160">
        <f t="shared" si="11"/>
        <v>26244.203430266145</v>
      </c>
      <c r="AB37" s="160">
        <f t="shared" si="11"/>
        <v>28385.730114989328</v>
      </c>
      <c r="AC37" s="160">
        <f t="shared" si="11"/>
        <v>30703.614450811314</v>
      </c>
      <c r="AD37" s="160">
        <f t="shared" si="11"/>
        <v>33207.288713586859</v>
      </c>
      <c r="AE37" s="160">
        <f t="shared" si="11"/>
        <v>35917.003073804051</v>
      </c>
      <c r="AF37" s="160">
        <f t="shared" si="11"/>
        <v>37595.334464935506</v>
      </c>
      <c r="AG37"/>
    </row>
    <row r="38" spans="1:39">
      <c r="A38" s="48" t="s">
        <v>317</v>
      </c>
      <c r="B38" s="160">
        <f>(B32-Assumptions!H18)/(Debt!B41-Assumptions!H18)*IS!C32</f>
        <v>4193.7049180327867</v>
      </c>
      <c r="C38" s="160">
        <f>(C32-C23)/(C41-B41)*IS!D32</f>
        <v>5029.7424657534248</v>
      </c>
      <c r="D38" s="160">
        <f>(D32-D23)/(D41-C41)*IS!E32</f>
        <v>5029.7424657534248</v>
      </c>
      <c r="E38" s="160">
        <f>(E32-E23)/(E41-D41)*IS!F32</f>
        <v>5016</v>
      </c>
      <c r="F38" s="160">
        <f>(F32-F23)/(F41-E41)*IS!G32</f>
        <v>5029.7424657534248</v>
      </c>
      <c r="G38" s="160">
        <f>(G32-G23)/(G41-F41)*IS!H32</f>
        <v>5029.7424657534248</v>
      </c>
      <c r="H38" s="160">
        <f>(H32-H23)/(H41-G41)*IS!I32</f>
        <v>5029.7424657534248</v>
      </c>
      <c r="I38" s="160">
        <f>(I32-I23)/(I41-H41)*IS!J32</f>
        <v>5016</v>
      </c>
      <c r="J38" s="160">
        <f>(J32-J23)/(J41-I41)*IS!K32</f>
        <v>5029.7424657534248</v>
      </c>
      <c r="K38" s="160">
        <f>(K32-K23)/(K41-J41)*IS!L32</f>
        <v>5029.7424657534248</v>
      </c>
      <c r="L38" s="160">
        <f>(L32-L23)/(L41-K41)*IS!M32</f>
        <v>5029.7424657534248</v>
      </c>
      <c r="M38" s="160">
        <f>(M32-M23)/(M41-L41)*IS!N32</f>
        <v>5016</v>
      </c>
      <c r="N38" s="160">
        <f>(N32-N23)/(N41-M41)*IS!O32</f>
        <v>5029.7424657534248</v>
      </c>
      <c r="O38" s="160">
        <f>(O32-O23)/(O41-N41)*IS!P32</f>
        <v>5029.7424657534248</v>
      </c>
      <c r="P38" s="160">
        <f>(P32-P23)/(P41-O41)*IS!Q32</f>
        <v>5029.7424657534248</v>
      </c>
      <c r="Q38" s="160">
        <f>(Q32-Q23)/(Q41-P41)*IS!R32</f>
        <v>5016</v>
      </c>
      <c r="R38" s="160">
        <f>(R32-R23)/(R41-Q41)*IS!S32</f>
        <v>5029.7424657534248</v>
      </c>
      <c r="S38" s="160">
        <f>(S32-S23)/(S41-R41)*IS!T32</f>
        <v>5029.7424657534248</v>
      </c>
      <c r="T38" s="160">
        <f>(T32-T23)/(T41-S41)*IS!U32</f>
        <v>5029.7424657534248</v>
      </c>
      <c r="U38" s="160">
        <f>(U32-U23)/(U41-T41)*IS!V32</f>
        <v>5016</v>
      </c>
      <c r="V38" s="160">
        <f>(V32-V23)/(V41-U41)*IS!W32</f>
        <v>2008.0620244181928</v>
      </c>
      <c r="W38" s="160">
        <f>(W32-W23)/(W41-V41)*IS!X32</f>
        <v>0</v>
      </c>
      <c r="X38" s="160">
        <f>(X32-X23)/(X41-W41)*IS!Y32</f>
        <v>0</v>
      </c>
      <c r="Y38" s="160">
        <f>(Y32-Y23)/(Y41-X41)*IS!Z32</f>
        <v>0</v>
      </c>
      <c r="Z38" s="160">
        <f>(Z32-Z23)/(Z41-Y41)*IS!AA32</f>
        <v>0</v>
      </c>
      <c r="AA38" s="160">
        <f>(AA32-AA23)/(AA41-Z41)*IS!AB32</f>
        <v>0</v>
      </c>
      <c r="AB38" s="160">
        <f>(AB32-AB23)/(AB41-AA41)*IS!AC32</f>
        <v>0</v>
      </c>
      <c r="AC38" s="160">
        <f>(AC32-AC23)/(AC41-AB41)*IS!AD32</f>
        <v>0</v>
      </c>
      <c r="AD38" s="160">
        <f>(AD32-AD23)/(AD41-AC41)*IS!AE32</f>
        <v>0</v>
      </c>
      <c r="AE38" s="160">
        <f>(AE32-AE23)/(AE41-AD41)*IS!AF32</f>
        <v>0</v>
      </c>
      <c r="AF38" s="160">
        <f>(AF32-AF23)/(AG23-AE41)*IS!AG32</f>
        <v>0</v>
      </c>
      <c r="AG38"/>
    </row>
    <row r="39" spans="1:39">
      <c r="A39" s="400" t="s">
        <v>0</v>
      </c>
      <c r="B39" s="401">
        <f t="shared" ref="B39:AF39" si="12">IF(B37&gt;0.1,B38/(B36+B35)," ")</f>
        <v>1.2999999999999965</v>
      </c>
      <c r="C39" s="401">
        <f t="shared" si="12"/>
        <v>1.304450220600907</v>
      </c>
      <c r="D39" s="401">
        <f t="shared" si="12"/>
        <v>1.3035616438356163</v>
      </c>
      <c r="E39" s="401">
        <f t="shared" si="12"/>
        <v>1.2991150574876023</v>
      </c>
      <c r="F39" s="401">
        <f t="shared" si="12"/>
        <v>1.3044502206009054</v>
      </c>
      <c r="G39" s="401">
        <f t="shared" si="12"/>
        <v>1.3035616438356188</v>
      </c>
      <c r="H39" s="401">
        <f t="shared" si="12"/>
        <v>1.3035616438356175</v>
      </c>
      <c r="I39" s="401">
        <f t="shared" si="12"/>
        <v>1.299115057487604</v>
      </c>
      <c r="J39" s="401">
        <f t="shared" si="12"/>
        <v>1.3044502206009032</v>
      </c>
      <c r="K39" s="401">
        <f t="shared" si="12"/>
        <v>1.3035616438356157</v>
      </c>
      <c r="L39" s="401">
        <f t="shared" si="12"/>
        <v>1.3035616438356155</v>
      </c>
      <c r="M39" s="401">
        <f t="shared" si="12"/>
        <v>1.2991150574876016</v>
      </c>
      <c r="N39" s="401">
        <f t="shared" si="12"/>
        <v>1.3044502206009028</v>
      </c>
      <c r="O39" s="401">
        <f t="shared" si="12"/>
        <v>1.3035616438356172</v>
      </c>
      <c r="P39" s="401">
        <f t="shared" si="12"/>
        <v>1.3035616438356157</v>
      </c>
      <c r="Q39" s="401">
        <f t="shared" si="12"/>
        <v>1.299115057487602</v>
      </c>
      <c r="R39" s="401">
        <f t="shared" si="12"/>
        <v>1.3044502206009032</v>
      </c>
      <c r="S39" s="401">
        <f t="shared" si="12"/>
        <v>1.3035616438356159</v>
      </c>
      <c r="T39" s="401">
        <f t="shared" si="12"/>
        <v>1.3035616438356168</v>
      </c>
      <c r="U39" s="401">
        <f t="shared" si="12"/>
        <v>1.2991150574876011</v>
      </c>
      <c r="V39" s="401">
        <f t="shared" si="12"/>
        <v>0.94911009745784058</v>
      </c>
      <c r="W39" s="401">
        <f t="shared" si="12"/>
        <v>0</v>
      </c>
      <c r="X39" s="401">
        <f t="shared" si="12"/>
        <v>0</v>
      </c>
      <c r="Y39" s="401">
        <f t="shared" si="12"/>
        <v>0</v>
      </c>
      <c r="Z39" s="401" t="e">
        <f t="shared" si="12"/>
        <v>#DIV/0!</v>
      </c>
      <c r="AA39" s="401">
        <f t="shared" si="12"/>
        <v>0</v>
      </c>
      <c r="AB39" s="401">
        <f t="shared" si="12"/>
        <v>0</v>
      </c>
      <c r="AC39" s="401">
        <f t="shared" si="12"/>
        <v>0</v>
      </c>
      <c r="AD39" s="401">
        <f t="shared" si="12"/>
        <v>0</v>
      </c>
      <c r="AE39" s="401">
        <f t="shared" si="12"/>
        <v>0</v>
      </c>
      <c r="AF39" s="401">
        <f t="shared" si="12"/>
        <v>0</v>
      </c>
    </row>
    <row r="40" spans="1:39">
      <c r="A40" s="48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</row>
    <row r="41" spans="1:39">
      <c r="A41"/>
      <c r="B41" s="390">
        <f>B8</f>
        <v>37256</v>
      </c>
      <c r="C41" s="390">
        <f t="shared" ref="C41:AF41" si="13">C8</f>
        <v>37621</v>
      </c>
      <c r="D41" s="390">
        <f t="shared" si="13"/>
        <v>37986</v>
      </c>
      <c r="E41" s="390">
        <f t="shared" si="13"/>
        <v>38352</v>
      </c>
      <c r="F41" s="390">
        <f t="shared" si="13"/>
        <v>38717</v>
      </c>
      <c r="G41" s="390">
        <f t="shared" si="13"/>
        <v>39082</v>
      </c>
      <c r="H41" s="390">
        <f t="shared" si="13"/>
        <v>39447</v>
      </c>
      <c r="I41" s="390">
        <f t="shared" si="13"/>
        <v>39813</v>
      </c>
      <c r="J41" s="390">
        <f t="shared" si="13"/>
        <v>40178</v>
      </c>
      <c r="K41" s="390">
        <f t="shared" si="13"/>
        <v>40543</v>
      </c>
      <c r="L41" s="390">
        <f t="shared" si="13"/>
        <v>40908</v>
      </c>
      <c r="M41" s="390">
        <f t="shared" si="13"/>
        <v>41274</v>
      </c>
      <c r="N41" s="390">
        <f t="shared" si="13"/>
        <v>41639</v>
      </c>
      <c r="O41" s="390">
        <f t="shared" si="13"/>
        <v>42004</v>
      </c>
      <c r="P41" s="390">
        <f t="shared" si="13"/>
        <v>42369</v>
      </c>
      <c r="Q41" s="390">
        <f t="shared" si="13"/>
        <v>42735</v>
      </c>
      <c r="R41" s="390">
        <f t="shared" si="13"/>
        <v>43100</v>
      </c>
      <c r="S41" s="390">
        <f t="shared" si="13"/>
        <v>43465</v>
      </c>
      <c r="T41" s="390">
        <f t="shared" si="13"/>
        <v>43830</v>
      </c>
      <c r="U41" s="390">
        <f t="shared" si="13"/>
        <v>44196</v>
      </c>
      <c r="V41" s="390">
        <f t="shared" si="13"/>
        <v>44561</v>
      </c>
      <c r="W41" s="390">
        <f t="shared" si="13"/>
        <v>44926</v>
      </c>
      <c r="X41" s="390">
        <f t="shared" si="13"/>
        <v>45291</v>
      </c>
      <c r="Y41" s="390">
        <f t="shared" si="13"/>
        <v>45657</v>
      </c>
      <c r="Z41" s="390">
        <f t="shared" si="13"/>
        <v>46022</v>
      </c>
      <c r="AA41" s="390">
        <f t="shared" si="13"/>
        <v>46387</v>
      </c>
      <c r="AB41" s="390">
        <f t="shared" si="13"/>
        <v>46752</v>
      </c>
      <c r="AC41" s="390">
        <f t="shared" si="13"/>
        <v>47118</v>
      </c>
      <c r="AD41" s="390">
        <f t="shared" si="13"/>
        <v>47483</v>
      </c>
      <c r="AE41" s="390">
        <f t="shared" si="13"/>
        <v>47848</v>
      </c>
      <c r="AF41" s="390">
        <f t="shared" si="13"/>
        <v>48213</v>
      </c>
    </row>
    <row r="42" spans="1:39">
      <c r="A42" s="48" t="s">
        <v>55</v>
      </c>
      <c r="B42" s="48">
        <f>B37</f>
        <v>79473.200285773913</v>
      </c>
      <c r="C42" s="48">
        <f>C37</f>
        <v>78090.761728602898</v>
      </c>
      <c r="D42" s="48">
        <f t="shared" ref="D42:AF42" si="14">D37</f>
        <v>76591.282564244117</v>
      </c>
      <c r="E42" s="48">
        <f t="shared" si="14"/>
        <v>74968.848671860542</v>
      </c>
      <c r="F42" s="48">
        <f t="shared" si="14"/>
        <v>73215.734242327759</v>
      </c>
      <c r="G42" s="48">
        <f t="shared" si="14"/>
        <v>71318.45289363683</v>
      </c>
      <c r="H42" s="48">
        <f t="shared" si="14"/>
        <v>69266.353409678602</v>
      </c>
      <c r="I42" s="48">
        <f t="shared" si="14"/>
        <v>67045.79015864915</v>
      </c>
      <c r="J42" s="48">
        <f t="shared" si="14"/>
        <v>64646.603335464744</v>
      </c>
      <c r="K42" s="48">
        <f t="shared" si="14"/>
        <v>62050.08100768696</v>
      </c>
      <c r="L42" s="48">
        <f t="shared" si="14"/>
        <v>59241.682489146122</v>
      </c>
      <c r="M42" s="48">
        <f t="shared" si="14"/>
        <v>56202.537943771073</v>
      </c>
      <c r="N42" s="48">
        <f t="shared" si="14"/>
        <v>52919.156475077849</v>
      </c>
      <c r="O42" s="48">
        <f t="shared" si="14"/>
        <v>49365.674624336294</v>
      </c>
      <c r="P42" s="48">
        <f t="shared" si="14"/>
        <v>45522.228697250692</v>
      </c>
      <c r="Q42" s="48">
        <f t="shared" si="14"/>
        <v>41362.799173774074</v>
      </c>
      <c r="R42" s="48">
        <f t="shared" si="14"/>
        <v>36869.336329017584</v>
      </c>
      <c r="S42" s="48">
        <f t="shared" si="14"/>
        <v>32006.189347111969</v>
      </c>
      <c r="T42" s="48">
        <f t="shared" si="14"/>
        <v>26746.209629888075</v>
      </c>
      <c r="U42" s="48">
        <f t="shared" si="14"/>
        <v>21053.592821496302</v>
      </c>
      <c r="V42" s="48">
        <f t="shared" si="14"/>
        <v>18454.048513168054</v>
      </c>
      <c r="W42" s="48">
        <f t="shared" si="14"/>
        <v>19176.383181912439</v>
      </c>
      <c r="X42" s="48">
        <f t="shared" si="14"/>
        <v>20741.17581925277</v>
      </c>
      <c r="Y42" s="48">
        <f t="shared" si="14"/>
        <v>22434.831270186161</v>
      </c>
      <c r="Z42" s="48">
        <f t="shared" si="14"/>
        <v>24264.241606577121</v>
      </c>
      <c r="AA42" s="48">
        <f t="shared" si="14"/>
        <v>26244.203430266145</v>
      </c>
      <c r="AB42" s="48">
        <f t="shared" si="14"/>
        <v>28385.730114989328</v>
      </c>
      <c r="AC42" s="48">
        <f t="shared" si="14"/>
        <v>30703.614450811314</v>
      </c>
      <c r="AD42" s="48">
        <f t="shared" si="14"/>
        <v>33207.288713586859</v>
      </c>
      <c r="AE42" s="48">
        <f t="shared" si="14"/>
        <v>35917.003073804051</v>
      </c>
      <c r="AF42" s="48">
        <f t="shared" si="14"/>
        <v>37595.334464935506</v>
      </c>
    </row>
    <row r="43" spans="1:39">
      <c r="A43" s="48" t="s">
        <v>315</v>
      </c>
      <c r="B43" s="377">
        <v>0</v>
      </c>
      <c r="C43" s="377">
        <v>0</v>
      </c>
      <c r="D43" s="377">
        <v>0</v>
      </c>
      <c r="E43" s="377">
        <v>0</v>
      </c>
      <c r="F43" s="377">
        <v>0</v>
      </c>
      <c r="G43" s="377">
        <v>0</v>
      </c>
      <c r="H43" s="377">
        <v>0</v>
      </c>
      <c r="I43" s="377">
        <v>0</v>
      </c>
      <c r="J43" s="377">
        <v>0</v>
      </c>
      <c r="K43" s="377">
        <v>0</v>
      </c>
      <c r="L43" s="377">
        <v>0</v>
      </c>
      <c r="M43" s="377">
        <v>0</v>
      </c>
      <c r="N43" s="377">
        <v>0</v>
      </c>
      <c r="O43" s="377">
        <v>0</v>
      </c>
      <c r="P43" s="377">
        <v>0</v>
      </c>
      <c r="Q43" s="377">
        <v>0</v>
      </c>
      <c r="R43" s="377">
        <v>0</v>
      </c>
      <c r="S43" s="377">
        <v>0</v>
      </c>
      <c r="T43" s="377">
        <v>0</v>
      </c>
      <c r="U43" s="377">
        <v>0</v>
      </c>
      <c r="V43" s="377">
        <v>0</v>
      </c>
      <c r="W43" s="377">
        <v>0</v>
      </c>
      <c r="X43" s="377">
        <v>0</v>
      </c>
      <c r="Y43" s="377">
        <v>0</v>
      </c>
      <c r="Z43" s="377">
        <v>0</v>
      </c>
      <c r="AA43" s="377">
        <v>0</v>
      </c>
      <c r="AB43" s="377">
        <v>0</v>
      </c>
      <c r="AC43" s="377">
        <v>0</v>
      </c>
      <c r="AD43" s="377">
        <v>0</v>
      </c>
      <c r="AE43" s="377">
        <v>0</v>
      </c>
      <c r="AF43" s="377">
        <v>0</v>
      </c>
    </row>
    <row r="44" spans="1:39">
      <c r="A44" s="48" t="s">
        <v>57</v>
      </c>
      <c r="B44" s="380">
        <f>B42*(B41-B32)/365.25*$E$64</f>
        <v>1584.0243616165203</v>
      </c>
      <c r="C44" s="380">
        <f t="shared" ref="C44:AF44" si="15">C42*(C41-C32)/(C41-B41)*$E$64</f>
        <v>1557.5362887239153</v>
      </c>
      <c r="D44" s="380">
        <f t="shared" si="15"/>
        <v>1527.6288686786227</v>
      </c>
      <c r="E44" s="380">
        <f t="shared" si="15"/>
        <v>1491.183656642472</v>
      </c>
      <c r="F44" s="380">
        <f t="shared" si="15"/>
        <v>1460.3028637921811</v>
      </c>
      <c r="G44" s="380">
        <f t="shared" si="15"/>
        <v>1422.4611974402087</v>
      </c>
      <c r="H44" s="380">
        <f t="shared" si="15"/>
        <v>1381.5316515683842</v>
      </c>
      <c r="I44" s="380">
        <f t="shared" si="15"/>
        <v>1333.5883944124748</v>
      </c>
      <c r="J44" s="380">
        <f t="shared" si="15"/>
        <v>1289.389787074475</v>
      </c>
      <c r="K44" s="380">
        <f t="shared" si="15"/>
        <v>1237.6016157149618</v>
      </c>
      <c r="L44" s="380">
        <f t="shared" si="15"/>
        <v>1181.5875301944759</v>
      </c>
      <c r="M44" s="380">
        <f t="shared" si="15"/>
        <v>1117.9084050017852</v>
      </c>
      <c r="N44" s="380">
        <f t="shared" si="15"/>
        <v>1055.4834496947033</v>
      </c>
      <c r="O44" s="380">
        <f t="shared" si="15"/>
        <v>984.60852401415946</v>
      </c>
      <c r="P44" s="380">
        <f t="shared" si="15"/>
        <v>907.95020524927406</v>
      </c>
      <c r="Q44" s="380">
        <f t="shared" si="15"/>
        <v>822.73545897561553</v>
      </c>
      <c r="R44" s="380">
        <f t="shared" si="15"/>
        <v>735.36648897328212</v>
      </c>
      <c r="S44" s="380">
        <f t="shared" si="15"/>
        <v>638.3700231423976</v>
      </c>
      <c r="T44" s="380">
        <f t="shared" si="15"/>
        <v>533.45864686461687</v>
      </c>
      <c r="U44" s="380">
        <f t="shared" si="15"/>
        <v>418.77091732375163</v>
      </c>
      <c r="V44" s="380">
        <f t="shared" si="15"/>
        <v>368.0697895229136</v>
      </c>
      <c r="W44" s="380">
        <f t="shared" si="15"/>
        <v>382.47690291595217</v>
      </c>
      <c r="X44" s="380">
        <f t="shared" si="15"/>
        <v>413.68701360043883</v>
      </c>
      <c r="Y44" s="380">
        <f t="shared" si="15"/>
        <v>446.24473127583406</v>
      </c>
      <c r="Z44" s="380">
        <f t="shared" si="15"/>
        <v>483.9552846462505</v>
      </c>
      <c r="AA44" s="380">
        <f t="shared" si="15"/>
        <v>523.44603006119883</v>
      </c>
      <c r="AB44" s="380">
        <f t="shared" si="15"/>
        <v>566.15921982773239</v>
      </c>
      <c r="AC44" s="380">
        <f t="shared" si="15"/>
        <v>610.71670273744917</v>
      </c>
      <c r="AD44" s="380">
        <f t="shared" si="15"/>
        <v>662.32619680797904</v>
      </c>
      <c r="AE44" s="380">
        <f t="shared" si="15"/>
        <v>716.37200651313276</v>
      </c>
      <c r="AF44" s="380">
        <f t="shared" si="15"/>
        <v>2010.5778870014826</v>
      </c>
    </row>
    <row r="45" spans="1:39">
      <c r="A45" s="48" t="s">
        <v>58</v>
      </c>
      <c r="B45" s="48">
        <f>B42+B43</f>
        <v>79473.200285773913</v>
      </c>
      <c r="C45" s="48">
        <f t="shared" ref="C45:AF45" si="16">C42+C43</f>
        <v>78090.761728602898</v>
      </c>
      <c r="D45" s="48">
        <f t="shared" si="16"/>
        <v>76591.282564244117</v>
      </c>
      <c r="E45" s="48">
        <f t="shared" si="16"/>
        <v>74968.848671860542</v>
      </c>
      <c r="F45" s="48">
        <f t="shared" si="16"/>
        <v>73215.734242327759</v>
      </c>
      <c r="G45" s="48">
        <f t="shared" si="16"/>
        <v>71318.45289363683</v>
      </c>
      <c r="H45" s="48">
        <f t="shared" si="16"/>
        <v>69266.353409678602</v>
      </c>
      <c r="I45" s="48">
        <f t="shared" si="16"/>
        <v>67045.79015864915</v>
      </c>
      <c r="J45" s="48">
        <f t="shared" si="16"/>
        <v>64646.603335464744</v>
      </c>
      <c r="K45" s="48">
        <f t="shared" si="16"/>
        <v>62050.08100768696</v>
      </c>
      <c r="L45" s="48">
        <f t="shared" si="16"/>
        <v>59241.682489146122</v>
      </c>
      <c r="M45" s="48">
        <f t="shared" si="16"/>
        <v>56202.537943771073</v>
      </c>
      <c r="N45" s="48">
        <f t="shared" si="16"/>
        <v>52919.156475077849</v>
      </c>
      <c r="O45" s="48">
        <f t="shared" si="16"/>
        <v>49365.674624336294</v>
      </c>
      <c r="P45" s="48">
        <f t="shared" si="16"/>
        <v>45522.228697250692</v>
      </c>
      <c r="Q45" s="48">
        <f t="shared" si="16"/>
        <v>41362.799173774074</v>
      </c>
      <c r="R45" s="48">
        <f t="shared" si="16"/>
        <v>36869.336329017584</v>
      </c>
      <c r="S45" s="48">
        <f t="shared" si="16"/>
        <v>32006.189347111969</v>
      </c>
      <c r="T45" s="48">
        <f t="shared" si="16"/>
        <v>26746.209629888075</v>
      </c>
      <c r="U45" s="48">
        <f t="shared" si="16"/>
        <v>21053.592821496302</v>
      </c>
      <c r="V45" s="48">
        <f t="shared" si="16"/>
        <v>18454.048513168054</v>
      </c>
      <c r="W45" s="48">
        <f t="shared" si="16"/>
        <v>19176.383181912439</v>
      </c>
      <c r="X45" s="48">
        <f t="shared" si="16"/>
        <v>20741.17581925277</v>
      </c>
      <c r="Y45" s="48">
        <f t="shared" si="16"/>
        <v>22434.831270186161</v>
      </c>
      <c r="Z45" s="48">
        <f t="shared" si="16"/>
        <v>24264.241606577121</v>
      </c>
      <c r="AA45" s="48">
        <f t="shared" si="16"/>
        <v>26244.203430266145</v>
      </c>
      <c r="AB45" s="48">
        <f t="shared" si="16"/>
        <v>28385.730114989328</v>
      </c>
      <c r="AC45" s="48">
        <f t="shared" si="16"/>
        <v>30703.614450811314</v>
      </c>
      <c r="AD45" s="48">
        <f t="shared" si="16"/>
        <v>33207.288713586859</v>
      </c>
      <c r="AE45" s="48">
        <f t="shared" si="16"/>
        <v>35917.003073804051</v>
      </c>
      <c r="AF45" s="48">
        <f t="shared" si="16"/>
        <v>37595.334464935506</v>
      </c>
    </row>
    <row r="46" spans="1:39">
      <c r="A46" s="48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376"/>
      <c r="Z46" s="376"/>
      <c r="AA46" s="376"/>
      <c r="AB46" s="376"/>
      <c r="AC46" s="376"/>
      <c r="AD46" s="376"/>
      <c r="AE46" s="376"/>
      <c r="AF46" s="376"/>
    </row>
    <row r="47" spans="1:39">
      <c r="A47" s="391" t="s">
        <v>373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376"/>
      <c r="Z47" s="376"/>
      <c r="AA47" s="376"/>
      <c r="AB47" s="376"/>
      <c r="AC47" s="376"/>
      <c r="AD47" s="376"/>
      <c r="AE47" s="376"/>
      <c r="AF47" s="376"/>
      <c r="AG47" s="49"/>
      <c r="AH47" s="49"/>
      <c r="AI47" s="49"/>
      <c r="AJ47" s="49"/>
      <c r="AK47" s="49"/>
      <c r="AL47" s="49"/>
      <c r="AM47" s="49"/>
    </row>
    <row r="48" spans="1:39">
      <c r="A48" s="48" t="s">
        <v>129</v>
      </c>
      <c r="B48" s="160">
        <f>SUM(B35,B26)</f>
        <v>544.43247271806467</v>
      </c>
      <c r="C48" s="160">
        <f t="shared" ref="C48:AF48" si="17">SUM(C35,C26)</f>
        <v>1382.4385571710154</v>
      </c>
      <c r="D48" s="160">
        <f t="shared" si="17"/>
        <v>1499.4791643587814</v>
      </c>
      <c r="E48" s="160">
        <f t="shared" si="17"/>
        <v>1622.4338923835749</v>
      </c>
      <c r="F48" s="160">
        <f t="shared" si="17"/>
        <v>1753.1144295327831</v>
      </c>
      <c r="G48" s="160">
        <f t="shared" si="17"/>
        <v>1897.281348690929</v>
      </c>
      <c r="H48" s="160">
        <f t="shared" si="17"/>
        <v>2052.0994839582272</v>
      </c>
      <c r="I48" s="160">
        <f t="shared" si="17"/>
        <v>2220.5632510294527</v>
      </c>
      <c r="J48" s="160">
        <f t="shared" si="17"/>
        <v>2399.1868231844055</v>
      </c>
      <c r="K48" s="160">
        <f t="shared" si="17"/>
        <v>2596.5223277777841</v>
      </c>
      <c r="L48" s="160">
        <f t="shared" si="17"/>
        <v>2808.3985185408383</v>
      </c>
      <c r="M48" s="160">
        <f t="shared" si="17"/>
        <v>3039.1445453750493</v>
      </c>
      <c r="N48" s="160">
        <f t="shared" si="17"/>
        <v>3283.3814686932237</v>
      </c>
      <c r="O48" s="160">
        <f t="shared" si="17"/>
        <v>3553.4818507415548</v>
      </c>
      <c r="P48" s="160">
        <f t="shared" si="17"/>
        <v>3843.4459270856023</v>
      </c>
      <c r="Q48" s="160">
        <f t="shared" si="17"/>
        <v>4159.4295234766178</v>
      </c>
      <c r="R48" s="160">
        <f t="shared" si="17"/>
        <v>4493.4628447564901</v>
      </c>
      <c r="S48" s="160">
        <f t="shared" si="17"/>
        <v>4863.1469819056147</v>
      </c>
      <c r="T48" s="160">
        <f t="shared" si="17"/>
        <v>5259.9797172238941</v>
      </c>
      <c r="U48" s="160">
        <f t="shared" si="17"/>
        <v>5692.6168083917728</v>
      </c>
      <c r="V48" s="160">
        <f t="shared" si="17"/>
        <v>2599.544308328248</v>
      </c>
      <c r="W48" s="160">
        <f t="shared" si="17"/>
        <v>-722.33466874438454</v>
      </c>
      <c r="X48" s="160">
        <f t="shared" si="17"/>
        <v>-1564.7926373403316</v>
      </c>
      <c r="Y48" s="160">
        <f t="shared" si="17"/>
        <v>-1693.655450933391</v>
      </c>
      <c r="Z48" s="160">
        <f t="shared" si="17"/>
        <v>-1829.4103363909599</v>
      </c>
      <c r="AA48" s="160">
        <f t="shared" si="17"/>
        <v>-1979.9618236890237</v>
      </c>
      <c r="AB48" s="160">
        <f t="shared" si="17"/>
        <v>-2141.5266847231833</v>
      </c>
      <c r="AC48" s="160">
        <f t="shared" si="17"/>
        <v>-2317.8843358219856</v>
      </c>
      <c r="AD48" s="160">
        <f t="shared" si="17"/>
        <v>-2503.6742627755448</v>
      </c>
      <c r="AE48" s="160">
        <f t="shared" si="17"/>
        <v>-2709.7143602171927</v>
      </c>
      <c r="AF48" s="160">
        <f t="shared" si="17"/>
        <v>-1678.3313911314544</v>
      </c>
      <c r="AG48" s="49"/>
      <c r="AH48" s="49"/>
      <c r="AI48" s="49"/>
      <c r="AJ48" s="49"/>
      <c r="AK48" s="49"/>
      <c r="AL48" s="49"/>
      <c r="AM48" s="49"/>
    </row>
    <row r="49" spans="1:39">
      <c r="A49" s="391" t="s">
        <v>128</v>
      </c>
      <c r="B49" s="380">
        <f>B36</f>
        <v>2681.4943873071647</v>
      </c>
      <c r="C49" s="380">
        <f t="shared" ref="C49:AF49" si="18">C27+C36+B44</f>
        <v>6329.2278388627474</v>
      </c>
      <c r="D49" s="380">
        <f t="shared" si="18"/>
        <v>6217.4439125642857</v>
      </c>
      <c r="E49" s="380">
        <f t="shared" si="18"/>
        <v>6099.7458654287675</v>
      </c>
      <c r="F49" s="380">
        <f t="shared" si="18"/>
        <v>5958.5519665009924</v>
      </c>
      <c r="G49" s="380">
        <f t="shared" si="18"/>
        <v>5819.6417282321345</v>
      </c>
      <c r="H49" s="380">
        <f t="shared" si="18"/>
        <v>5664.8235929648436</v>
      </c>
      <c r="I49" s="380">
        <f t="shared" si="18"/>
        <v>5501.6165067829015</v>
      </c>
      <c r="J49" s="380">
        <f t="shared" si="18"/>
        <v>5312.4795728493764</v>
      </c>
      <c r="K49" s="380">
        <f t="shared" si="18"/>
        <v>5120.4007491452994</v>
      </c>
      <c r="L49" s="380">
        <f t="shared" si="18"/>
        <v>4908.524558382237</v>
      </c>
      <c r="M49" s="380">
        <f t="shared" si="18"/>
        <v>4683.0352124373176</v>
      </c>
      <c r="N49" s="380">
        <f t="shared" si="18"/>
        <v>4428.2849273405718</v>
      </c>
      <c r="O49" s="380">
        <f t="shared" si="18"/>
        <v>4163.441226181526</v>
      </c>
      <c r="P49" s="380">
        <f t="shared" si="18"/>
        <v>3873.477149837473</v>
      </c>
      <c r="Q49" s="380">
        <f t="shared" si="18"/>
        <v>3562.750234335746</v>
      </c>
      <c r="R49" s="380">
        <f t="shared" si="18"/>
        <v>3218.2035512773014</v>
      </c>
      <c r="S49" s="380">
        <f t="shared" si="18"/>
        <v>2853.7760950174634</v>
      </c>
      <c r="T49" s="380">
        <f t="shared" si="18"/>
        <v>2456.9433596991835</v>
      </c>
      <c r="U49" s="380">
        <f t="shared" si="18"/>
        <v>2029.5629494205953</v>
      </c>
      <c r="V49" s="380">
        <f t="shared" si="18"/>
        <v>1631.9184688494875</v>
      </c>
      <c r="W49" s="380">
        <f t="shared" si="18"/>
        <v>1490.4458256256635</v>
      </c>
      <c r="X49" s="380">
        <f t="shared" si="18"/>
        <v>1564.7926373403347</v>
      </c>
      <c r="Y49" s="380">
        <f t="shared" si="18"/>
        <v>1693.655450933388</v>
      </c>
      <c r="Z49" s="380">
        <f t="shared" si="18"/>
        <v>1829.4103363909583</v>
      </c>
      <c r="AA49" s="380">
        <f t="shared" si="18"/>
        <v>1979.9618236890249</v>
      </c>
      <c r="AB49" s="380">
        <f t="shared" si="18"/>
        <v>2141.5266847231874</v>
      </c>
      <c r="AC49" s="380">
        <f t="shared" si="18"/>
        <v>2317.8843358219838</v>
      </c>
      <c r="AD49" s="380">
        <f t="shared" si="18"/>
        <v>2503.674262775542</v>
      </c>
      <c r="AE49" s="380">
        <f t="shared" si="18"/>
        <v>2709.7143602171896</v>
      </c>
      <c r="AF49" s="380">
        <f t="shared" si="18"/>
        <v>1678.3313911314513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3225.9268600252294</v>
      </c>
      <c r="C50" s="49">
        <f t="shared" si="19"/>
        <v>7711.6663960337628</v>
      </c>
      <c r="D50" s="49">
        <f t="shared" si="19"/>
        <v>7716.9230769230671</v>
      </c>
      <c r="E50" s="49">
        <f t="shared" si="19"/>
        <v>7722.1797578123424</v>
      </c>
      <c r="F50" s="49">
        <f t="shared" si="19"/>
        <v>7711.6663960337755</v>
      </c>
      <c r="G50" s="49">
        <f t="shared" si="19"/>
        <v>7716.9230769230635</v>
      </c>
      <c r="H50" s="49">
        <f t="shared" si="19"/>
        <v>7716.9230769230708</v>
      </c>
      <c r="I50" s="49">
        <f t="shared" si="19"/>
        <v>7722.1797578123542</v>
      </c>
      <c r="J50" s="49">
        <f t="shared" si="19"/>
        <v>7711.6663960337819</v>
      </c>
      <c r="K50" s="49">
        <f t="shared" si="19"/>
        <v>7716.9230769230835</v>
      </c>
      <c r="L50" s="49">
        <f t="shared" si="19"/>
        <v>7716.9230769230753</v>
      </c>
      <c r="M50" s="49">
        <f t="shared" si="19"/>
        <v>7722.1797578123669</v>
      </c>
      <c r="N50" s="49">
        <f t="shared" si="19"/>
        <v>7711.6663960337955</v>
      </c>
      <c r="O50" s="49">
        <f t="shared" si="19"/>
        <v>7716.9230769230808</v>
      </c>
      <c r="P50" s="49">
        <f t="shared" si="19"/>
        <v>7716.9230769230753</v>
      </c>
      <c r="Q50" s="49">
        <f t="shared" si="19"/>
        <v>7722.1797578123642</v>
      </c>
      <c r="R50" s="49">
        <f t="shared" si="19"/>
        <v>7711.6663960337919</v>
      </c>
      <c r="S50" s="49">
        <f t="shared" si="19"/>
        <v>7716.923076923078</v>
      </c>
      <c r="T50" s="49">
        <f t="shared" si="19"/>
        <v>7716.923076923078</v>
      </c>
      <c r="U50" s="49">
        <f t="shared" si="19"/>
        <v>7722.1797578123678</v>
      </c>
      <c r="V50" s="49">
        <f t="shared" si="19"/>
        <v>4231.4627771777359</v>
      </c>
      <c r="W50" s="49">
        <f t="shared" si="19"/>
        <v>768.11115688127893</v>
      </c>
      <c r="X50" s="49">
        <f t="shared" si="19"/>
        <v>3.1832314562052488E-12</v>
      </c>
      <c r="Y50" s="49">
        <f t="shared" si="19"/>
        <v>-2.9558577807620168E-12</v>
      </c>
      <c r="Z50" s="49">
        <f t="shared" si="19"/>
        <v>0</v>
      </c>
      <c r="AA50" s="49">
        <f t="shared" si="19"/>
        <v>0</v>
      </c>
      <c r="AB50" s="49">
        <f t="shared" si="19"/>
        <v>4.0927261579781771E-12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-3.1832314562052488E-12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2" t="s">
        <v>388</v>
      </c>
      <c r="B52" s="398">
        <f>IF(B33&gt;0.1,(B38+B29)/B50," ")</f>
        <v>1.2999999999999965</v>
      </c>
      <c r="C52" s="398">
        <f t="shared" ref="C52:AF52" si="20">IF(C33&gt;0.1,(C38+C29)/C50," ")</f>
        <v>1.3000000000000045</v>
      </c>
      <c r="D52" s="398">
        <f t="shared" si="20"/>
        <v>1.3000000000000016</v>
      </c>
      <c r="E52" s="398">
        <f t="shared" si="20"/>
        <v>1.3000000000000038</v>
      </c>
      <c r="F52" s="398">
        <f t="shared" si="20"/>
        <v>1.3000000000000023</v>
      </c>
      <c r="G52" s="398">
        <f t="shared" si="20"/>
        <v>1.3000000000000023</v>
      </c>
      <c r="H52" s="398">
        <f t="shared" si="20"/>
        <v>1.3000000000000009</v>
      </c>
      <c r="I52" s="398">
        <f t="shared" si="20"/>
        <v>1.3000000000000018</v>
      </c>
      <c r="J52" s="398">
        <f t="shared" si="20"/>
        <v>1.3000000000000012</v>
      </c>
      <c r="K52" s="398">
        <f t="shared" si="20"/>
        <v>1.2999999999999989</v>
      </c>
      <c r="L52" s="398">
        <f t="shared" si="20"/>
        <v>1.3000000000000003</v>
      </c>
      <c r="M52" s="398">
        <f t="shared" si="20"/>
        <v>1.2999999999999996</v>
      </c>
      <c r="N52" s="398">
        <f t="shared" si="20"/>
        <v>1.2999999999999989</v>
      </c>
      <c r="O52" s="398">
        <f t="shared" si="20"/>
        <v>1.2999999999999994</v>
      </c>
      <c r="P52" s="458">
        <f t="shared" si="20"/>
        <v>1.3000000000000003</v>
      </c>
      <c r="Q52" s="398">
        <f t="shared" si="20"/>
        <v>1.3</v>
      </c>
      <c r="R52" s="398">
        <f t="shared" si="20"/>
        <v>1.2999999999999996</v>
      </c>
      <c r="S52" s="398">
        <f t="shared" si="20"/>
        <v>1.2999999999999998</v>
      </c>
      <c r="T52" s="398">
        <f t="shared" si="20"/>
        <v>1.2999999999999998</v>
      </c>
      <c r="U52" s="398">
        <f t="shared" si="20"/>
        <v>1.2999999999999996</v>
      </c>
      <c r="V52" s="398">
        <f t="shared" si="20"/>
        <v>1.3000000000000018</v>
      </c>
      <c r="W52" s="398">
        <f t="shared" si="20"/>
        <v>1.2999999999999949</v>
      </c>
      <c r="X52" s="398">
        <f t="shared" si="20"/>
        <v>0</v>
      </c>
      <c r="Y52" s="398">
        <f t="shared" si="20"/>
        <v>0</v>
      </c>
      <c r="Z52" s="398" t="e">
        <f t="shared" si="20"/>
        <v>#DIV/0!</v>
      </c>
      <c r="AA52" s="398" t="e">
        <f t="shared" si="20"/>
        <v>#DIV/0!</v>
      </c>
      <c r="AB52" s="398">
        <f t="shared" si="20"/>
        <v>0</v>
      </c>
      <c r="AC52" s="398" t="e">
        <f t="shared" si="20"/>
        <v>#DIV/0!</v>
      </c>
      <c r="AD52" s="398" t="e">
        <f t="shared" si="20"/>
        <v>#DIV/0!</v>
      </c>
      <c r="AE52" s="398" t="e">
        <f t="shared" si="20"/>
        <v>#DIV/0!</v>
      </c>
      <c r="AF52" s="458">
        <f t="shared" si="20"/>
        <v>0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1"/>
      <c r="C53" s="403"/>
      <c r="D53" s="403"/>
      <c r="E53" s="403"/>
      <c r="F53" s="403"/>
      <c r="G53" s="403"/>
      <c r="H53" s="403"/>
      <c r="I53" s="403"/>
      <c r="J53" s="403"/>
      <c r="K53" s="403"/>
      <c r="L53" s="403"/>
      <c r="M53" s="403"/>
      <c r="N53" s="403"/>
      <c r="O53" s="403"/>
      <c r="P53" s="403"/>
      <c r="Q53" s="403"/>
      <c r="R53" s="403"/>
      <c r="S53" s="403"/>
      <c r="T53" s="403"/>
      <c r="U53" s="403"/>
      <c r="V53" s="403"/>
      <c r="W53" s="403"/>
      <c r="X53" s="403"/>
      <c r="Y53" s="403"/>
      <c r="Z53" s="403"/>
      <c r="AA53" s="403"/>
      <c r="AB53" s="403"/>
      <c r="AC53" s="403"/>
      <c r="AD53" s="403"/>
      <c r="AE53" s="403"/>
      <c r="AF53" s="403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1"/>
      <c r="C54" s="403"/>
      <c r="D54" s="403"/>
      <c r="E54" s="403"/>
      <c r="F54" s="403"/>
      <c r="G54" s="403"/>
      <c r="H54" s="403"/>
      <c r="I54" s="403"/>
      <c r="J54" s="403"/>
      <c r="K54" s="403"/>
      <c r="L54" s="403"/>
      <c r="M54" s="403"/>
      <c r="N54" s="403"/>
      <c r="O54" s="403"/>
      <c r="P54" s="403"/>
      <c r="Q54" s="403"/>
      <c r="R54" s="403"/>
      <c r="S54" s="403"/>
      <c r="T54" s="403"/>
      <c r="U54" s="403"/>
      <c r="V54" s="403"/>
      <c r="W54" s="403"/>
      <c r="X54" s="403"/>
      <c r="Y54" s="403"/>
      <c r="Z54" s="403"/>
      <c r="AA54" s="403"/>
      <c r="AB54" s="403"/>
      <c r="AC54" s="403"/>
      <c r="AD54" s="403"/>
      <c r="AE54" s="403"/>
      <c r="AF54" s="403"/>
      <c r="AG54" s="50"/>
      <c r="AH54" s="50"/>
      <c r="AI54" s="50"/>
      <c r="AJ54" s="50"/>
      <c r="AK54" s="50"/>
      <c r="AL54" s="50"/>
      <c r="AM54" s="50"/>
    </row>
    <row r="55" spans="1:39">
      <c r="A55" s="391" t="s">
        <v>372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76"/>
      <c r="AA55" s="376"/>
      <c r="AB55" s="376"/>
      <c r="AC55" s="376"/>
      <c r="AD55" s="376"/>
      <c r="AE55" s="376"/>
      <c r="AF55" s="376"/>
    </row>
    <row r="56" spans="1:39">
      <c r="A56" s="48" t="s">
        <v>129</v>
      </c>
      <c r="B56" s="160">
        <f t="shared" ref="B56:AF56" si="21">B35+B26</f>
        <v>544.43247271806467</v>
      </c>
      <c r="C56" s="160">
        <f t="shared" si="21"/>
        <v>1382.4385571710154</v>
      </c>
      <c r="D56" s="160">
        <f t="shared" si="21"/>
        <v>1499.4791643587814</v>
      </c>
      <c r="E56" s="160">
        <f t="shared" si="21"/>
        <v>1622.4338923835749</v>
      </c>
      <c r="F56" s="160">
        <f t="shared" si="21"/>
        <v>1753.1144295327831</v>
      </c>
      <c r="G56" s="160">
        <f t="shared" si="21"/>
        <v>1897.281348690929</v>
      </c>
      <c r="H56" s="160">
        <f t="shared" si="21"/>
        <v>2052.0994839582272</v>
      </c>
      <c r="I56" s="160">
        <f t="shared" si="21"/>
        <v>2220.5632510294527</v>
      </c>
      <c r="J56" s="160">
        <f t="shared" si="21"/>
        <v>2399.1868231844055</v>
      </c>
      <c r="K56" s="160">
        <f t="shared" si="21"/>
        <v>2596.5223277777841</v>
      </c>
      <c r="L56" s="160">
        <f t="shared" si="21"/>
        <v>2808.3985185408383</v>
      </c>
      <c r="M56" s="160">
        <f t="shared" si="21"/>
        <v>3039.1445453750493</v>
      </c>
      <c r="N56" s="160">
        <f t="shared" si="21"/>
        <v>3283.3814686932237</v>
      </c>
      <c r="O56" s="160">
        <f t="shared" si="21"/>
        <v>3553.4818507415548</v>
      </c>
      <c r="P56" s="160">
        <f t="shared" si="21"/>
        <v>3843.4459270856023</v>
      </c>
      <c r="Q56" s="160">
        <f t="shared" si="21"/>
        <v>4159.4295234766178</v>
      </c>
      <c r="R56" s="160">
        <f t="shared" si="21"/>
        <v>4493.4628447564901</v>
      </c>
      <c r="S56" s="160">
        <f t="shared" si="21"/>
        <v>4863.1469819056147</v>
      </c>
      <c r="T56" s="160">
        <f t="shared" si="21"/>
        <v>5259.9797172238941</v>
      </c>
      <c r="U56" s="160">
        <f t="shared" si="21"/>
        <v>5692.6168083917728</v>
      </c>
      <c r="V56" s="160">
        <f t="shared" si="21"/>
        <v>2599.544308328248</v>
      </c>
      <c r="W56" s="160">
        <f t="shared" si="21"/>
        <v>-722.33466874438454</v>
      </c>
      <c r="X56" s="160">
        <f t="shared" si="21"/>
        <v>-1564.7926373403316</v>
      </c>
      <c r="Y56" s="160">
        <f t="shared" si="21"/>
        <v>-1693.655450933391</v>
      </c>
      <c r="Z56" s="160">
        <f t="shared" si="21"/>
        <v>-1829.4103363909599</v>
      </c>
      <c r="AA56" s="160">
        <f t="shared" si="21"/>
        <v>-1979.9618236890237</v>
      </c>
      <c r="AB56" s="160">
        <f t="shared" si="21"/>
        <v>-2141.5266847231833</v>
      </c>
      <c r="AC56" s="160">
        <f t="shared" si="21"/>
        <v>-2317.8843358219856</v>
      </c>
      <c r="AD56" s="160">
        <f t="shared" si="21"/>
        <v>-2503.6742627755448</v>
      </c>
      <c r="AE56" s="160">
        <f t="shared" si="21"/>
        <v>-2709.7143602171927</v>
      </c>
      <c r="AF56" s="160">
        <f t="shared" si="21"/>
        <v>-1678.3313911314544</v>
      </c>
    </row>
    <row r="57" spans="1:39">
      <c r="A57" s="391" t="s">
        <v>128</v>
      </c>
      <c r="B57" s="380">
        <f t="shared" ref="B57:AF57" si="22">B36+B44+B27</f>
        <v>4265.5187489236851</v>
      </c>
      <c r="C57" s="380">
        <f t="shared" si="22"/>
        <v>6302.7397659701419</v>
      </c>
      <c r="D57" s="380">
        <f t="shared" si="22"/>
        <v>6187.5364925189933</v>
      </c>
      <c r="E57" s="380">
        <f t="shared" si="22"/>
        <v>6063.3006533926164</v>
      </c>
      <c r="F57" s="380">
        <f t="shared" si="22"/>
        <v>5927.6711736507023</v>
      </c>
      <c r="G57" s="380">
        <f t="shared" si="22"/>
        <v>5781.8000618801616</v>
      </c>
      <c r="H57" s="380">
        <f t="shared" si="22"/>
        <v>5623.8940470930193</v>
      </c>
      <c r="I57" s="380">
        <f t="shared" si="22"/>
        <v>5453.6732496269924</v>
      </c>
      <c r="J57" s="380">
        <f t="shared" si="22"/>
        <v>5268.2809655113761</v>
      </c>
      <c r="K57" s="380">
        <f t="shared" si="22"/>
        <v>5068.612577785786</v>
      </c>
      <c r="L57" s="380">
        <f t="shared" si="22"/>
        <v>4852.5104728617507</v>
      </c>
      <c r="M57" s="380">
        <f t="shared" si="22"/>
        <v>4619.3560872446269</v>
      </c>
      <c r="N57" s="380">
        <f t="shared" si="22"/>
        <v>4365.8599720334896</v>
      </c>
      <c r="O57" s="380">
        <f t="shared" si="22"/>
        <v>4092.5663005009819</v>
      </c>
      <c r="P57" s="380">
        <f t="shared" si="22"/>
        <v>3796.8188310725873</v>
      </c>
      <c r="Q57" s="380">
        <f t="shared" si="22"/>
        <v>3477.5354880620876</v>
      </c>
      <c r="R57" s="380">
        <f t="shared" si="22"/>
        <v>3130.8345812749681</v>
      </c>
      <c r="S57" s="380">
        <f t="shared" si="22"/>
        <v>2756.7796291865789</v>
      </c>
      <c r="T57" s="380">
        <f t="shared" si="22"/>
        <v>2352.0319834214024</v>
      </c>
      <c r="U57" s="380">
        <f t="shared" si="22"/>
        <v>1914.8752198797301</v>
      </c>
      <c r="V57" s="380">
        <f t="shared" si="22"/>
        <v>1581.2173410486494</v>
      </c>
      <c r="W57" s="380">
        <f t="shared" si="22"/>
        <v>1504.852939018702</v>
      </c>
      <c r="X57" s="380">
        <f t="shared" si="22"/>
        <v>1596.0027480248216</v>
      </c>
      <c r="Y57" s="380">
        <f t="shared" si="22"/>
        <v>1726.2131686087832</v>
      </c>
      <c r="Z57" s="380">
        <f t="shared" si="22"/>
        <v>1867.1208897613747</v>
      </c>
      <c r="AA57" s="380">
        <f t="shared" si="22"/>
        <v>2019.4525691039732</v>
      </c>
      <c r="AB57" s="380">
        <f t="shared" si="22"/>
        <v>2184.2398744897209</v>
      </c>
      <c r="AC57" s="380">
        <f t="shared" si="22"/>
        <v>2362.441818731701</v>
      </c>
      <c r="AD57" s="380">
        <f t="shared" si="22"/>
        <v>2555.2837568460718</v>
      </c>
      <c r="AE57" s="380">
        <f t="shared" si="22"/>
        <v>2763.7601699223433</v>
      </c>
      <c r="AF57" s="380">
        <f t="shared" si="22"/>
        <v>2972.5372716198012</v>
      </c>
    </row>
    <row r="58" spans="1:39">
      <c r="A58" s="49" t="s">
        <v>59</v>
      </c>
      <c r="B58" s="49">
        <f>SUM(B56:B57)</f>
        <v>4809.9512216417497</v>
      </c>
      <c r="C58" s="49">
        <f t="shared" ref="C58:AF58" si="23">SUM(C56:C57)</f>
        <v>7685.1783231411573</v>
      </c>
      <c r="D58" s="49">
        <f t="shared" si="23"/>
        <v>7687.0156568777747</v>
      </c>
      <c r="E58" s="49">
        <f t="shared" si="23"/>
        <v>7685.7345457761912</v>
      </c>
      <c r="F58" s="49">
        <f t="shared" si="23"/>
        <v>7680.7856031834854</v>
      </c>
      <c r="G58" s="49">
        <f t="shared" si="23"/>
        <v>7679.0814105710906</v>
      </c>
      <c r="H58" s="49">
        <f t="shared" si="23"/>
        <v>7675.9935310512465</v>
      </c>
      <c r="I58" s="49">
        <f t="shared" si="23"/>
        <v>7674.2365006564451</v>
      </c>
      <c r="J58" s="49">
        <f t="shared" si="23"/>
        <v>7667.4677886957816</v>
      </c>
      <c r="K58" s="49">
        <f t="shared" si="23"/>
        <v>7665.1349055635701</v>
      </c>
      <c r="L58" s="49">
        <f t="shared" si="23"/>
        <v>7660.908991402589</v>
      </c>
      <c r="M58" s="49">
        <f t="shared" si="23"/>
        <v>7658.5006326196763</v>
      </c>
      <c r="N58" s="49">
        <f t="shared" si="23"/>
        <v>7649.2414407267133</v>
      </c>
      <c r="O58" s="49">
        <f t="shared" si="23"/>
        <v>7646.0481512425367</v>
      </c>
      <c r="P58" s="49">
        <f t="shared" si="23"/>
        <v>7640.2647581581896</v>
      </c>
      <c r="Q58" s="49">
        <f t="shared" si="23"/>
        <v>7636.9650115387049</v>
      </c>
      <c r="R58" s="49">
        <f t="shared" si="23"/>
        <v>7624.2974260314586</v>
      </c>
      <c r="S58" s="49">
        <f t="shared" si="23"/>
        <v>7619.9266110921935</v>
      </c>
      <c r="T58" s="49">
        <f t="shared" si="23"/>
        <v>7612.0117006452965</v>
      </c>
      <c r="U58" s="49">
        <f t="shared" si="23"/>
        <v>7607.4920282715029</v>
      </c>
      <c r="V58" s="49">
        <f t="shared" si="23"/>
        <v>4180.7616493768974</v>
      </c>
      <c r="W58" s="49">
        <f t="shared" si="23"/>
        <v>782.5182702743175</v>
      </c>
      <c r="X58" s="49">
        <f t="shared" si="23"/>
        <v>31.210110684490019</v>
      </c>
      <c r="Y58" s="49">
        <f t="shared" si="23"/>
        <v>32.557717675392269</v>
      </c>
      <c r="Z58" s="49">
        <f t="shared" si="23"/>
        <v>37.7105533704148</v>
      </c>
      <c r="AA58" s="49">
        <f t="shared" si="23"/>
        <v>39.490745414949515</v>
      </c>
      <c r="AB58" s="49">
        <f t="shared" si="23"/>
        <v>42.713189766537653</v>
      </c>
      <c r="AC58" s="49">
        <f t="shared" si="23"/>
        <v>44.557482909715418</v>
      </c>
      <c r="AD58" s="49">
        <f t="shared" si="23"/>
        <v>51.609494070527035</v>
      </c>
      <c r="AE58" s="49">
        <f t="shared" si="23"/>
        <v>54.045809705150532</v>
      </c>
      <c r="AF58" s="49">
        <f t="shared" si="23"/>
        <v>1294.2058804883468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1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403"/>
      <c r="AA59" s="403"/>
      <c r="AB59" s="403"/>
      <c r="AC59" s="403"/>
      <c r="AD59" s="403"/>
      <c r="AE59" s="403"/>
      <c r="AF59" s="403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4"/>
      <c r="C60" s="404"/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4"/>
      <c r="AF60" s="404"/>
      <c r="AG60" s="50"/>
      <c r="AH60" s="50"/>
      <c r="AI60" s="50"/>
      <c r="AJ60" s="50"/>
      <c r="AK60" s="50"/>
      <c r="AL60" s="50"/>
      <c r="AM60" s="50"/>
    </row>
    <row r="61" spans="1:39">
      <c r="B61" s="542" t="s">
        <v>316</v>
      </c>
      <c r="C61" s="543"/>
      <c r="D61" s="543"/>
      <c r="E61" s="544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49" t="s">
        <v>376</v>
      </c>
      <c r="C62" s="57"/>
      <c r="D62" s="57"/>
      <c r="E62" s="450">
        <f>Assumptions!G38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3">
        <f>Assumptions!G39</f>
        <v>1.4999999999999999E-2</v>
      </c>
      <c r="AA63" s="12"/>
      <c r="AB63" s="12"/>
    </row>
    <row r="64" spans="1:39">
      <c r="A64" s="48"/>
      <c r="B64" s="328" t="s">
        <v>377</v>
      </c>
      <c r="C64" s="58"/>
      <c r="D64" s="58"/>
      <c r="E64" s="394">
        <f>E63+E62</f>
        <v>0.08</v>
      </c>
      <c r="AA64" s="12"/>
      <c r="AB64" s="12"/>
    </row>
    <row r="65" spans="1:43">
      <c r="B65" s="396" t="s">
        <v>375</v>
      </c>
      <c r="C65" s="57"/>
      <c r="D65" s="57"/>
      <c r="E65" s="395">
        <f>Assumptions!G34</f>
        <v>20</v>
      </c>
      <c r="AA65" s="12"/>
      <c r="AB65" s="12"/>
    </row>
    <row r="66" spans="1:43">
      <c r="B66" s="437" t="s">
        <v>374</v>
      </c>
      <c r="C66" s="13"/>
      <c r="D66" s="13"/>
      <c r="E66" s="451">
        <f>B77</f>
        <v>3.5120616049811004</v>
      </c>
      <c r="AA66" s="12"/>
      <c r="AB66" s="12"/>
    </row>
    <row r="67" spans="1:43">
      <c r="B67" s="328" t="s">
        <v>54</v>
      </c>
      <c r="C67" s="58"/>
      <c r="D67" s="58"/>
      <c r="E67" s="438">
        <f>B19</f>
        <v>80017.632758491978</v>
      </c>
      <c r="AA67" s="12"/>
      <c r="AB67" s="12"/>
    </row>
    <row r="68" spans="1:43">
      <c r="B68" s="325" t="s">
        <v>0</v>
      </c>
      <c r="C68" s="57"/>
      <c r="D68" s="57" t="s">
        <v>370</v>
      </c>
      <c r="E68" s="454" t="e">
        <f>AVERAGE(B52:AF52)</f>
        <v>#DIV/0!</v>
      </c>
      <c r="AA68" s="12"/>
      <c r="AB68" s="12"/>
    </row>
    <row r="69" spans="1:43">
      <c r="B69" s="452"/>
      <c r="C69" s="58"/>
      <c r="D69" s="58" t="s">
        <v>371</v>
      </c>
      <c r="E69" s="455" t="e">
        <f>MIN(B52:AF52)</f>
        <v>#DIV/0!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56">
        <f>(SUMPRODUCT(B74:AF74,B35:AF35)+SUMPRODUCT(B75:AF75,B26:AF26))/E67</f>
        <v>3.5120616049811004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8"/>
      <c r="AB79" s="378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Notes</vt:lpstr>
      <vt:lpstr>Tracking Sheet</vt:lpstr>
      <vt:lpstr>Assumptions</vt:lpstr>
      <vt:lpstr>Price_Technical Assumption</vt:lpstr>
      <vt:lpstr>Cost Backup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2000-04-26T14:31:16Z</cp:lastPrinted>
  <dcterms:created xsi:type="dcterms:W3CDTF">1999-04-02T01:38:38Z</dcterms:created>
  <dcterms:modified xsi:type="dcterms:W3CDTF">2023-09-13T21:58:35Z</dcterms:modified>
</cp:coreProperties>
</file>