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137EE1-D6AC-4702-8609-5EA861CE8210}" xr6:coauthVersionLast="47" xr6:coauthVersionMax="47" xr10:uidLastSave="{00000000-0000-0000-0000-000000000000}"/>
  <bookViews>
    <workbookView xWindow="-120" yWindow="-120" windowWidth="38640" windowHeight="15720"/>
  </bookViews>
  <sheets>
    <sheet name="UAE" sheetId="9" r:id="rId1"/>
    <sheet name="CTGprice" sheetId="4" r:id="rId2"/>
    <sheet name="calcs" sheetId="10" r:id="rId3"/>
  </sheets>
  <calcPr calcId="0"/>
</workbook>
</file>

<file path=xl/calcChain.xml><?xml version="1.0" encoding="utf-8"?>
<calcChain xmlns="http://schemas.openxmlformats.org/spreadsheetml/2006/main">
  <c r="C5" i="10" l="1"/>
  <c r="C7" i="10"/>
  <c r="I6" i="4"/>
  <c r="I7" i="4"/>
  <c r="I8" i="4"/>
  <c r="I9" i="4"/>
  <c r="I10" i="4"/>
  <c r="I11" i="4"/>
  <c r="I12" i="4"/>
  <c r="I13" i="4"/>
  <c r="D14" i="4"/>
  <c r="I14" i="4"/>
  <c r="D15" i="4"/>
  <c r="I15" i="4"/>
  <c r="D16" i="4"/>
  <c r="I16" i="4"/>
  <c r="D17" i="4"/>
  <c r="I17" i="4"/>
  <c r="D18" i="4"/>
  <c r="I18" i="4"/>
  <c r="I19" i="4"/>
  <c r="D21" i="4"/>
  <c r="I21" i="4"/>
  <c r="I22" i="4"/>
  <c r="I9" i="9"/>
  <c r="I10" i="9"/>
  <c r="I11" i="9"/>
  <c r="F12" i="9"/>
  <c r="I12" i="9"/>
  <c r="K12" i="9"/>
  <c r="I16" i="9"/>
  <c r="I17" i="9"/>
  <c r="I18" i="9"/>
  <c r="F19" i="9"/>
  <c r="I19" i="9"/>
  <c r="I22" i="9"/>
  <c r="I23" i="9"/>
  <c r="I24" i="9"/>
  <c r="I25" i="9"/>
  <c r="I26" i="9"/>
  <c r="I27" i="9"/>
  <c r="I28" i="9"/>
  <c r="I29" i="9"/>
  <c r="I30" i="9"/>
  <c r="F31" i="9"/>
  <c r="I31" i="9"/>
  <c r="K31" i="9"/>
  <c r="F33" i="9"/>
  <c r="I33" i="9"/>
  <c r="K33" i="9"/>
  <c r="I36" i="9"/>
  <c r="F37" i="9"/>
  <c r="I37" i="9"/>
  <c r="F41" i="9"/>
  <c r="I41" i="9"/>
  <c r="F42" i="9"/>
  <c r="I42" i="9"/>
  <c r="I43" i="9"/>
  <c r="I45" i="9"/>
  <c r="F46" i="9"/>
  <c r="I46" i="9"/>
  <c r="K46" i="9"/>
  <c r="I50" i="9"/>
  <c r="I51" i="9"/>
  <c r="I52" i="9"/>
  <c r="I53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6" i="9"/>
  <c r="I77" i="9"/>
  <c r="I78" i="9"/>
  <c r="I80" i="9"/>
  <c r="I81" i="9"/>
  <c r="F82" i="9"/>
  <c r="I82" i="9"/>
  <c r="I85" i="9"/>
  <c r="F86" i="9"/>
  <c r="I86" i="9"/>
  <c r="F88" i="9"/>
  <c r="I88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F105" i="9"/>
  <c r="I105" i="9"/>
  <c r="I108" i="9"/>
  <c r="I109" i="9"/>
  <c r="I110" i="9"/>
  <c r="I111" i="9"/>
  <c r="I112" i="9"/>
  <c r="F113" i="9"/>
  <c r="I113" i="9"/>
  <c r="I116" i="9"/>
  <c r="F117" i="9"/>
  <c r="I117" i="9"/>
  <c r="I120" i="9"/>
  <c r="K120" i="9"/>
  <c r="I121" i="9"/>
  <c r="F125" i="9"/>
  <c r="I125" i="9"/>
  <c r="K125" i="9"/>
  <c r="F128" i="9"/>
  <c r="I128" i="9"/>
  <c r="K128" i="9"/>
  <c r="F130" i="9"/>
  <c r="I130" i="9"/>
  <c r="K130" i="9"/>
  <c r="F132" i="9"/>
  <c r="I132" i="9"/>
  <c r="K132" i="9"/>
  <c r="F134" i="9"/>
  <c r="I134" i="9"/>
  <c r="K134" i="9"/>
  <c r="F135" i="9"/>
  <c r="I135" i="9"/>
  <c r="K135" i="9"/>
  <c r="F137" i="9"/>
  <c r="I137" i="9"/>
  <c r="K137" i="9"/>
  <c r="F141" i="9"/>
  <c r="I141" i="9"/>
  <c r="K141" i="9"/>
</calcChain>
</file>

<file path=xl/sharedStrings.xml><?xml version="1.0" encoding="utf-8"?>
<sst xmlns="http://schemas.openxmlformats.org/spreadsheetml/2006/main" count="222" uniqueCount="161">
  <si>
    <t>Indirect Costs</t>
  </si>
  <si>
    <t>Engineering</t>
  </si>
  <si>
    <t>startup</t>
  </si>
  <si>
    <t>Procurement</t>
  </si>
  <si>
    <t>CTG's</t>
  </si>
  <si>
    <t>Construction</t>
  </si>
  <si>
    <t>site</t>
  </si>
  <si>
    <t>u/g electrical</t>
  </si>
  <si>
    <t>u/g piping</t>
  </si>
  <si>
    <t>concrete</t>
  </si>
  <si>
    <t>grout</t>
  </si>
  <si>
    <t>steel</t>
  </si>
  <si>
    <t>architectural</t>
  </si>
  <si>
    <t>buildings</t>
  </si>
  <si>
    <t>a/g piping</t>
  </si>
  <si>
    <t>instrumentatiion</t>
  </si>
  <si>
    <t>insulation</t>
  </si>
  <si>
    <t>painting</t>
  </si>
  <si>
    <t>mech equipment</t>
  </si>
  <si>
    <t>Subtotal Cost</t>
  </si>
  <si>
    <t>fixed G&amp;A</t>
  </si>
  <si>
    <t>Total Cost</t>
  </si>
  <si>
    <t>contingency</t>
  </si>
  <si>
    <t>TOTAL PROJECT EPC</t>
  </si>
  <si>
    <t>margin</t>
  </si>
  <si>
    <t>a/g electrical</t>
  </si>
  <si>
    <t xml:space="preserve"> </t>
  </si>
  <si>
    <t>dual fuel</t>
  </si>
  <si>
    <t>no</t>
  </si>
  <si>
    <t>NEPCO</t>
  </si>
  <si>
    <t>yes</t>
  </si>
  <si>
    <t>LM6000</t>
  </si>
  <si>
    <t>WestLB</t>
  </si>
  <si>
    <t>Sprint</t>
  </si>
  <si>
    <t>fin fan</t>
  </si>
  <si>
    <t>chiller</t>
  </si>
  <si>
    <t>cooling tower</t>
  </si>
  <si>
    <t>OPTIONS</t>
  </si>
  <si>
    <t>15 kV to 4160 V transformer</t>
  </si>
  <si>
    <t>4160 switchgear</t>
  </si>
  <si>
    <t>4160 V to 480 V transformer</t>
  </si>
  <si>
    <t>480 V distribution/switchpanel</t>
  </si>
  <si>
    <t>BOP distribution panel/MCC</t>
  </si>
  <si>
    <t>air compressor</t>
  </si>
  <si>
    <t>liquid fuel tank heater</t>
  </si>
  <si>
    <t>liquid fuel unloading station</t>
  </si>
  <si>
    <t>liquid fuel treatment</t>
  </si>
  <si>
    <t>liquid fuel forwarding skid</t>
  </si>
  <si>
    <t>liquid fuel duplex filter</t>
  </si>
  <si>
    <t>gas fuel filter skid</t>
  </si>
  <si>
    <t>gas fuel scubber/heater</t>
  </si>
  <si>
    <t>raw water forwarding skid</t>
  </si>
  <si>
    <t>demin forwarding</t>
  </si>
  <si>
    <t>oily water separator</t>
  </si>
  <si>
    <t>anti-ice air to air</t>
  </si>
  <si>
    <t>CEMS</t>
  </si>
  <si>
    <t>stack 45 ft standard</t>
  </si>
  <si>
    <t>stack 45 ft heavy</t>
  </si>
  <si>
    <t>included</t>
  </si>
  <si>
    <t>water injection metering</t>
  </si>
  <si>
    <t>additional CT's</t>
  </si>
  <si>
    <t>15 kV swutchgear</t>
  </si>
  <si>
    <t>included in base deal</t>
  </si>
  <si>
    <t>Project Management</t>
  </si>
  <si>
    <t>Home office</t>
  </si>
  <si>
    <t>salaried staff</t>
  </si>
  <si>
    <t>hourly staff</t>
  </si>
  <si>
    <t>Major Equipment</t>
  </si>
  <si>
    <t>equipment rental</t>
  </si>
  <si>
    <t>small tools</t>
  </si>
  <si>
    <t>temp facilities</t>
  </si>
  <si>
    <t>GC other</t>
  </si>
  <si>
    <t>tax/bond</t>
  </si>
  <si>
    <t>units</t>
  </si>
  <si>
    <t>60ft stack</t>
  </si>
  <si>
    <t>included in SCR</t>
  </si>
  <si>
    <t>gas fuel only</t>
  </si>
  <si>
    <t>gas heater</t>
  </si>
  <si>
    <t>gas compression so no heating required</t>
  </si>
  <si>
    <t>vendor TDI</t>
  </si>
  <si>
    <t>240 mnhrs/unit included in base price</t>
  </si>
  <si>
    <t>freight for stack</t>
  </si>
  <si>
    <t>freight for CTG</t>
  </si>
  <si>
    <t>Engr labor</t>
  </si>
  <si>
    <t>Engineered Equipment</t>
  </si>
  <si>
    <t>valves and specials</t>
  </si>
  <si>
    <t>dry xfmrs</t>
  </si>
  <si>
    <t>step-up transformers</t>
  </si>
  <si>
    <t>pwr dist xfrms</t>
  </si>
  <si>
    <t>600V MCC</t>
  </si>
  <si>
    <t>600V swgr</t>
  </si>
  <si>
    <t>5kV MCC</t>
  </si>
  <si>
    <t>control panel</t>
  </si>
  <si>
    <t>DCS</t>
  </si>
  <si>
    <t>UPS</t>
  </si>
  <si>
    <t>fld mntd instr</t>
  </si>
  <si>
    <t>control valves</t>
  </si>
  <si>
    <t>pumps</t>
  </si>
  <si>
    <t>APC equipment</t>
  </si>
  <si>
    <t>Gas Compression</t>
  </si>
  <si>
    <t>FLD/shop vessels</t>
  </si>
  <si>
    <t>15kV swgr</t>
  </si>
  <si>
    <t>Bulk Material</t>
  </si>
  <si>
    <t>Procurement Subtotal</t>
  </si>
  <si>
    <t>Startup</t>
  </si>
  <si>
    <t>oper training</t>
  </si>
  <si>
    <t>initial fill/spares</t>
  </si>
  <si>
    <t>manuals</t>
  </si>
  <si>
    <t>startup support</t>
  </si>
  <si>
    <t>Warranty</t>
  </si>
  <si>
    <t>warranty</t>
  </si>
  <si>
    <t>unit capacity</t>
  </si>
  <si>
    <t>kW</t>
  </si>
  <si>
    <t>power factor</t>
  </si>
  <si>
    <t>unit output</t>
  </si>
  <si>
    <t>kVA</t>
  </si>
  <si>
    <t>voltage</t>
  </si>
  <si>
    <t>V</t>
  </si>
  <si>
    <t>A</t>
  </si>
  <si>
    <t>Lowell, Mass</t>
  </si>
  <si>
    <t>Nepco Indirects</t>
  </si>
  <si>
    <t>S/C indirects</t>
  </si>
  <si>
    <t>prod loss</t>
  </si>
  <si>
    <t>S/C margin</t>
  </si>
  <si>
    <t>Indirect Subtotal</t>
  </si>
  <si>
    <t>Inlet Air Anti-icing</t>
  </si>
  <si>
    <t>Inlet air freight</t>
  </si>
  <si>
    <t>CTG freight</t>
  </si>
  <si>
    <t>cable</t>
  </si>
  <si>
    <t>Hi voltage device</t>
  </si>
  <si>
    <t>cooling towers</t>
  </si>
  <si>
    <t>fin fan coolers</t>
  </si>
  <si>
    <t>fuel gas filter</t>
  </si>
  <si>
    <t>water treatment</t>
  </si>
  <si>
    <t>Oil/water separator</t>
  </si>
  <si>
    <t>vendor reps</t>
  </si>
  <si>
    <t>Lowell deal</t>
  </si>
  <si>
    <t>Plano</t>
  </si>
  <si>
    <t>Rose-Golden adjusted</t>
  </si>
  <si>
    <t>345 kV</t>
  </si>
  <si>
    <t>based on 6 CTG's at 1700@</t>
  </si>
  <si>
    <t>cooling towers in chiller</t>
  </si>
  <si>
    <t>Owner Adds</t>
  </si>
  <si>
    <t>Substation</t>
  </si>
  <si>
    <t>gas pipeline</t>
  </si>
  <si>
    <t>transmission line</t>
  </si>
  <si>
    <t>ENA remote monitoring</t>
  </si>
  <si>
    <t>in substation</t>
  </si>
  <si>
    <t>4.5 miles of 12" @$50,000/inch-mile</t>
  </si>
  <si>
    <t>3 345kV bays plus tube bus</t>
  </si>
  <si>
    <t>capacity</t>
  </si>
  <si>
    <t>Homestead SC</t>
  </si>
  <si>
    <t>Golden's Guess</t>
  </si>
  <si>
    <t xml:space="preserve">   </t>
  </si>
  <si>
    <t>pretreatment</t>
  </si>
  <si>
    <t>first stage RO</t>
  </si>
  <si>
    <t>tank farm</t>
  </si>
  <si>
    <t xml:space="preserve">other </t>
  </si>
  <si>
    <t>admin buildings</t>
  </si>
  <si>
    <t>these are recent adds</t>
  </si>
  <si>
    <t>11 230 kV bays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</si>
</sst>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7" formatCode="_(* #,##0_);_(* \(#,##0\);_(* &quot;-&quot;??_);_(@_)"/>
    <numFmt numFmtId="168" formatCode="dd\-mmm\-yy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65" fontId="0" fillId="0" borderId="0" xfId="2" applyNumberFormat="1" applyFont="1"/>
    <xf numFmtId="0" fontId="2" fillId="0" borderId="0" xfId="0" applyFont="1"/>
    <xf numFmtId="165" fontId="3" fillId="0" borderId="0" xfId="2" applyNumberFormat="1" applyFont="1"/>
    <xf numFmtId="9" fontId="0" fillId="0" borderId="0" xfId="3" applyFont="1"/>
    <xf numFmtId="168" fontId="0" fillId="0" borderId="0" xfId="0" applyNumberFormat="1"/>
    <xf numFmtId="165" fontId="0" fillId="0" borderId="0" xfId="2" applyNumberFormat="1" applyFont="1" applyFill="1"/>
    <xf numFmtId="0" fontId="4" fillId="0" borderId="0" xfId="0" applyFont="1"/>
    <xf numFmtId="0" fontId="0" fillId="2" borderId="0" xfId="0" applyFill="1"/>
    <xf numFmtId="0" fontId="0" fillId="0" borderId="0" xfId="0" applyFill="1"/>
    <xf numFmtId="165" fontId="0" fillId="0" borderId="0" xfId="0" applyNumberFormat="1"/>
    <xf numFmtId="165" fontId="3" fillId="0" borderId="0" xfId="2" applyNumberFormat="1" applyFont="1" applyFill="1"/>
    <xf numFmtId="165" fontId="0" fillId="2" borderId="0" xfId="2" applyNumberFormat="1" applyFont="1" applyFill="1"/>
    <xf numFmtId="165" fontId="3" fillId="2" borderId="0" xfId="2" applyNumberFormat="1" applyFont="1" applyFill="1"/>
    <xf numFmtId="165" fontId="3" fillId="0" borderId="0" xfId="0" applyNumberFormat="1" applyFont="1"/>
    <xf numFmtId="10" fontId="0" fillId="2" borderId="0" xfId="3" applyNumberFormat="1" applyFont="1" applyFill="1"/>
    <xf numFmtId="166" fontId="0" fillId="0" borderId="0" xfId="1" applyNumberFormat="1" applyFont="1"/>
    <xf numFmtId="167" fontId="0" fillId="0" borderId="0" xfId="1" applyNumberFormat="1" applyFont="1"/>
    <xf numFmtId="0" fontId="5" fillId="0" borderId="0" xfId="0" applyFont="1"/>
    <xf numFmtId="165" fontId="4" fillId="2" borderId="0" xfId="2" applyNumberFormat="1" applyFont="1" applyFill="1"/>
    <xf numFmtId="165" fontId="0" fillId="0" borderId="1" xfId="2" applyNumberFormat="1" applyFont="1" applyFill="1" applyBorder="1"/>
    <xf numFmtId="168" fontId="0" fillId="0" borderId="0" xfId="0" applyNumberFormat="1" applyFill="1"/>
    <xf numFmtId="165" fontId="0" fillId="0" borderId="0" xfId="0" applyNumberFormat="1" applyFill="1"/>
    <xf numFmtId="9" fontId="0" fillId="0" borderId="0" xfId="3" applyFont="1" applyFill="1"/>
    <xf numFmtId="15" fontId="0" fillId="0" borderId="0" xfId="0" applyNumberFormat="1"/>
    <xf numFmtId="165" fontId="5" fillId="0" borderId="0" xfId="2" applyNumberFormat="1" applyFont="1"/>
    <xf numFmtId="9" fontId="4" fillId="0" borderId="0" xfId="3" applyFont="1" applyFill="1"/>
    <xf numFmtId="165" fontId="4" fillId="0" borderId="0" xfId="2" applyNumberFormat="1" applyFont="1" applyFill="1"/>
    <xf numFmtId="165" fontId="0" fillId="0" borderId="1" xfId="2" applyNumberFormat="1" applyFont="1" applyBorder="1"/>
    <xf numFmtId="165" fontId="3" fillId="0" borderId="1" xfId="2" applyNumberFormat="1" applyFont="1" applyBorder="1"/>
    <xf numFmtId="165" fontId="4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8"/>
  <sheetViews>
    <sheetView tabSelected="1" topLeftCell="A94" zoomScale="75" workbookViewId="0">
      <selection activeCell="F131" sqref="F131"/>
    </sheetView>
  </sheetViews>
  <sheetFormatPr defaultRowHeight="12.75" x14ac:dyDescent="0.2"/>
  <cols>
    <col min="2" max="2" width="13.7109375" customWidth="1"/>
    <col min="3" max="3" width="11.5703125" customWidth="1"/>
    <col min="4" max="4" width="9" customWidth="1"/>
    <col min="6" max="6" width="20.42578125" customWidth="1"/>
    <col min="7" max="7" width="3.5703125" customWidth="1"/>
    <col min="8" max="8" width="29.140625" customWidth="1"/>
    <col min="9" max="9" width="18.42578125" customWidth="1"/>
    <col min="10" max="10" width="23" customWidth="1"/>
    <col min="11" max="11" width="20.140625" customWidth="1"/>
    <col min="12" max="12" width="21.140625" customWidth="1"/>
  </cols>
  <sheetData>
    <row r="1" spans="1:11" x14ac:dyDescent="0.2">
      <c r="H1" s="9"/>
      <c r="I1" s="9"/>
      <c r="J1" s="9"/>
    </row>
    <row r="2" spans="1:11" x14ac:dyDescent="0.2">
      <c r="H2" s="9"/>
      <c r="I2" s="9"/>
      <c r="J2" s="9"/>
    </row>
    <row r="3" spans="1:11" x14ac:dyDescent="0.2">
      <c r="H3" s="9"/>
      <c r="I3" s="9"/>
      <c r="J3" s="9"/>
      <c r="K3" t="s">
        <v>151</v>
      </c>
    </row>
    <row r="4" spans="1:11" x14ac:dyDescent="0.2">
      <c r="F4" t="s">
        <v>119</v>
      </c>
      <c r="H4" s="9"/>
      <c r="I4" s="9" t="s">
        <v>137</v>
      </c>
      <c r="J4" s="9"/>
      <c r="K4">
        <v>6</v>
      </c>
    </row>
    <row r="5" spans="1:11" x14ac:dyDescent="0.2">
      <c r="B5" t="s">
        <v>73</v>
      </c>
      <c r="F5">
        <v>5</v>
      </c>
      <c r="H5" s="9"/>
      <c r="I5" s="9">
        <v>6</v>
      </c>
      <c r="J5" s="9"/>
      <c r="K5">
        <v>270</v>
      </c>
    </row>
    <row r="6" spans="1:11" x14ac:dyDescent="0.2">
      <c r="F6" s="8" t="s">
        <v>29</v>
      </c>
      <c r="H6" s="9"/>
      <c r="I6" s="9" t="s">
        <v>138</v>
      </c>
      <c r="J6" s="9"/>
      <c r="K6" t="s">
        <v>152</v>
      </c>
    </row>
    <row r="7" spans="1:11" x14ac:dyDescent="0.2">
      <c r="F7" s="5">
        <v>36642</v>
      </c>
      <c r="H7" s="9"/>
      <c r="I7" s="21">
        <v>36649</v>
      </c>
      <c r="J7" s="9"/>
      <c r="K7" s="24">
        <v>36633</v>
      </c>
    </row>
    <row r="8" spans="1:11" x14ac:dyDescent="0.2">
      <c r="A8" s="2" t="s">
        <v>63</v>
      </c>
      <c r="H8" s="9"/>
      <c r="I8" s="9"/>
      <c r="J8" s="9"/>
    </row>
    <row r="9" spans="1:11" x14ac:dyDescent="0.2">
      <c r="B9" t="s">
        <v>64</v>
      </c>
      <c r="F9" s="12">
        <v>600670</v>
      </c>
      <c r="H9" s="23">
        <v>1.1000000000000001</v>
      </c>
      <c r="I9" s="6">
        <f>F9*H9</f>
        <v>660737</v>
      </c>
      <c r="J9" s="9"/>
      <c r="K9" s="1">
        <v>720804</v>
      </c>
    </row>
    <row r="10" spans="1:11" x14ac:dyDescent="0.2">
      <c r="B10" t="s">
        <v>65</v>
      </c>
      <c r="F10" s="12">
        <v>778156</v>
      </c>
      <c r="H10" s="23">
        <v>1.1000000000000001</v>
      </c>
      <c r="I10" s="6">
        <f>F10*H10</f>
        <v>855971.60000000009</v>
      </c>
      <c r="J10" s="9"/>
      <c r="K10" s="1">
        <v>947891</v>
      </c>
    </row>
    <row r="11" spans="1:11" ht="15" x14ac:dyDescent="0.35">
      <c r="B11" t="s">
        <v>66</v>
      </c>
      <c r="F11" s="13">
        <v>161200</v>
      </c>
      <c r="H11" s="23">
        <v>1.1000000000000001</v>
      </c>
      <c r="I11" s="11">
        <f>F11*H11</f>
        <v>177320</v>
      </c>
      <c r="J11" s="9"/>
      <c r="K11" s="25">
        <v>218756</v>
      </c>
    </row>
    <row r="12" spans="1:11" x14ac:dyDescent="0.2">
      <c r="B12" t="s">
        <v>26</v>
      </c>
      <c r="F12" s="1">
        <f>SUM(F9:F11)</f>
        <v>1540026</v>
      </c>
      <c r="H12" s="9"/>
      <c r="I12" s="6">
        <f>SUM(I9:I11)</f>
        <v>1694028.6</v>
      </c>
      <c r="J12" s="9"/>
      <c r="K12" s="6">
        <f>SUM(K9:K11)</f>
        <v>1887451</v>
      </c>
    </row>
    <row r="13" spans="1:11" x14ac:dyDescent="0.2">
      <c r="H13" s="9"/>
      <c r="I13" s="9"/>
      <c r="J13" s="9"/>
      <c r="K13" s="1"/>
    </row>
    <row r="14" spans="1:11" x14ac:dyDescent="0.2">
      <c r="A14" s="2" t="s">
        <v>0</v>
      </c>
      <c r="H14" s="9"/>
      <c r="I14" s="9"/>
      <c r="J14" s="9"/>
      <c r="K14" s="1"/>
    </row>
    <row r="15" spans="1:11" x14ac:dyDescent="0.2">
      <c r="A15" s="2"/>
      <c r="B15" s="2" t="s">
        <v>120</v>
      </c>
      <c r="H15" s="9"/>
      <c r="I15" s="9"/>
      <c r="J15" s="9"/>
      <c r="K15" s="1"/>
    </row>
    <row r="16" spans="1:11" x14ac:dyDescent="0.2">
      <c r="B16" t="s">
        <v>68</v>
      </c>
      <c r="F16" s="12">
        <v>50000</v>
      </c>
      <c r="H16" s="23">
        <v>1.1000000000000001</v>
      </c>
      <c r="I16" s="6">
        <f>F16*H16</f>
        <v>55000.000000000007</v>
      </c>
      <c r="J16" s="9"/>
      <c r="K16" s="1">
        <v>635659</v>
      </c>
    </row>
    <row r="17" spans="2:11" x14ac:dyDescent="0.2">
      <c r="B17" t="s">
        <v>69</v>
      </c>
      <c r="F17" s="12">
        <v>30000</v>
      </c>
      <c r="H17" s="23">
        <v>1.1000000000000001</v>
      </c>
      <c r="I17" s="6">
        <f>F17*H17</f>
        <v>33000</v>
      </c>
      <c r="J17" s="9"/>
      <c r="K17" s="1">
        <v>254504</v>
      </c>
    </row>
    <row r="18" spans="2:11" ht="15" x14ac:dyDescent="0.35">
      <c r="B18" t="s">
        <v>71</v>
      </c>
      <c r="F18" s="13">
        <v>638676</v>
      </c>
      <c r="H18" s="23">
        <v>1.1000000000000001</v>
      </c>
      <c r="I18" s="11">
        <f>F18*H18</f>
        <v>702543.60000000009</v>
      </c>
      <c r="J18" s="9"/>
      <c r="K18" s="1">
        <v>262371</v>
      </c>
    </row>
    <row r="19" spans="2:11" x14ac:dyDescent="0.2">
      <c r="F19" s="10">
        <f>SUM(F16:F18)</f>
        <v>718676</v>
      </c>
      <c r="H19" s="9"/>
      <c r="I19" s="22">
        <f>SUM(I16:I18)</f>
        <v>790543.60000000009</v>
      </c>
      <c r="J19" s="9"/>
      <c r="K19" s="1">
        <v>893720</v>
      </c>
    </row>
    <row r="20" spans="2:11" x14ac:dyDescent="0.2">
      <c r="H20" s="9"/>
      <c r="I20" s="9"/>
      <c r="J20" s="9"/>
      <c r="K20" s="1">
        <v>562500</v>
      </c>
    </row>
    <row r="21" spans="2:11" x14ac:dyDescent="0.2">
      <c r="B21" s="2" t="s">
        <v>121</v>
      </c>
      <c r="H21" s="9"/>
      <c r="I21" s="9"/>
      <c r="J21" s="9"/>
      <c r="K21" s="30">
        <v>6750</v>
      </c>
    </row>
    <row r="22" spans="2:11" x14ac:dyDescent="0.2">
      <c r="B22" t="s">
        <v>65</v>
      </c>
      <c r="F22" s="12">
        <v>900610</v>
      </c>
      <c r="H22" s="23">
        <v>1.1000000000000001</v>
      </c>
      <c r="I22" s="6">
        <f t="shared" ref="I22:I30" si="0">F22*H22</f>
        <v>990671.00000000012</v>
      </c>
      <c r="J22" s="9"/>
      <c r="K22" s="1">
        <v>0</v>
      </c>
    </row>
    <row r="23" spans="2:11" x14ac:dyDescent="0.2">
      <c r="B23" s="7" t="s">
        <v>66</v>
      </c>
      <c r="C23" s="18"/>
      <c r="D23" s="18"/>
      <c r="E23" s="18"/>
      <c r="F23" s="19">
        <v>342633</v>
      </c>
      <c r="G23" s="18"/>
      <c r="H23" s="23">
        <v>1.1000000000000001</v>
      </c>
      <c r="I23" s="6">
        <f t="shared" si="0"/>
        <v>376896.30000000005</v>
      </c>
      <c r="J23" s="9"/>
      <c r="K23" s="1">
        <v>0</v>
      </c>
    </row>
    <row r="24" spans="2:11" x14ac:dyDescent="0.2">
      <c r="B24" t="s">
        <v>68</v>
      </c>
      <c r="F24" s="12">
        <v>666369</v>
      </c>
      <c r="H24" s="23">
        <v>1.1000000000000001</v>
      </c>
      <c r="I24" s="6">
        <f t="shared" si="0"/>
        <v>733005.9</v>
      </c>
      <c r="J24" s="9"/>
      <c r="K24" s="1">
        <v>0</v>
      </c>
    </row>
    <row r="25" spans="2:11" x14ac:dyDescent="0.2">
      <c r="B25" t="s">
        <v>69</v>
      </c>
      <c r="F25" s="12">
        <v>280580</v>
      </c>
      <c r="H25" s="23">
        <v>1.1000000000000001</v>
      </c>
      <c r="I25" s="6">
        <f t="shared" si="0"/>
        <v>308638</v>
      </c>
      <c r="J25" s="9"/>
      <c r="K25" s="1">
        <v>0</v>
      </c>
    </row>
    <row r="26" spans="2:11" x14ac:dyDescent="0.2">
      <c r="B26" t="s">
        <v>70</v>
      </c>
      <c r="F26" s="12">
        <v>514566</v>
      </c>
      <c r="H26" s="23">
        <v>1.1000000000000001</v>
      </c>
      <c r="I26" s="6">
        <f t="shared" si="0"/>
        <v>566022.60000000009</v>
      </c>
      <c r="J26" s="9"/>
      <c r="K26" s="1">
        <v>0</v>
      </c>
    </row>
    <row r="27" spans="2:11" x14ac:dyDescent="0.2">
      <c r="B27" t="s">
        <v>71</v>
      </c>
      <c r="F27" s="12">
        <v>722844</v>
      </c>
      <c r="H27" s="23">
        <v>1.1000000000000001</v>
      </c>
      <c r="I27" s="6">
        <f t="shared" si="0"/>
        <v>795128.4</v>
      </c>
      <c r="J27" s="9"/>
      <c r="K27" s="1">
        <v>0</v>
      </c>
    </row>
    <row r="28" spans="2:11" x14ac:dyDescent="0.2">
      <c r="B28" t="s">
        <v>122</v>
      </c>
      <c r="F28" s="12">
        <v>1068864</v>
      </c>
      <c r="H28" s="23">
        <v>1.1000000000000001</v>
      </c>
      <c r="I28" s="6">
        <f t="shared" si="0"/>
        <v>1175750.4000000001</v>
      </c>
      <c r="J28" s="9"/>
      <c r="K28" s="1">
        <v>0</v>
      </c>
    </row>
    <row r="29" spans="2:11" x14ac:dyDescent="0.2">
      <c r="B29" t="s">
        <v>123</v>
      </c>
      <c r="F29" s="12">
        <v>1815000</v>
      </c>
      <c r="H29" s="23">
        <v>1.1000000000000001</v>
      </c>
      <c r="I29" s="6">
        <f t="shared" si="0"/>
        <v>1996500.0000000002</v>
      </c>
      <c r="J29" s="9"/>
      <c r="K29" s="1">
        <v>0</v>
      </c>
    </row>
    <row r="30" spans="2:11" ht="15" x14ac:dyDescent="0.35">
      <c r="B30" t="s">
        <v>72</v>
      </c>
      <c r="F30" s="13">
        <v>6750</v>
      </c>
      <c r="H30" s="23">
        <v>1.1000000000000001</v>
      </c>
      <c r="I30" s="11">
        <f t="shared" si="0"/>
        <v>7425.0000000000009</v>
      </c>
      <c r="J30" s="9"/>
      <c r="K30" s="3">
        <v>0</v>
      </c>
    </row>
    <row r="31" spans="2:11" x14ac:dyDescent="0.2">
      <c r="F31" s="1">
        <f>SUM(F22:F30)</f>
        <v>6318216</v>
      </c>
      <c r="H31" s="9"/>
      <c r="I31" s="6">
        <f>SUM(I22:I30)</f>
        <v>6950037.6000000006</v>
      </c>
      <c r="J31" s="9"/>
      <c r="K31" s="6">
        <f>SUM(K16:K30)</f>
        <v>2615504</v>
      </c>
    </row>
    <row r="32" spans="2:11" x14ac:dyDescent="0.2">
      <c r="F32" s="1"/>
      <c r="H32" s="9"/>
      <c r="I32" s="6"/>
      <c r="J32" s="9"/>
      <c r="K32" s="6"/>
    </row>
    <row r="33" spans="1:11" x14ac:dyDescent="0.2">
      <c r="B33" s="2" t="s">
        <v>124</v>
      </c>
      <c r="F33" s="1">
        <f>F19+F31</f>
        <v>7036892</v>
      </c>
      <c r="H33" s="9"/>
      <c r="I33" s="6">
        <f>I19+I31</f>
        <v>7740581.2000000011</v>
      </c>
      <c r="J33" s="9"/>
      <c r="K33" s="6">
        <f>K31</f>
        <v>2615504</v>
      </c>
    </row>
    <row r="34" spans="1:11" x14ac:dyDescent="0.2">
      <c r="F34" s="1"/>
      <c r="H34" s="9"/>
      <c r="I34" s="6"/>
      <c r="J34" s="9"/>
      <c r="K34" s="1"/>
    </row>
    <row r="35" spans="1:11" x14ac:dyDescent="0.2">
      <c r="A35" s="2" t="s">
        <v>1</v>
      </c>
      <c r="F35" s="1"/>
      <c r="H35" s="9"/>
      <c r="I35" s="6"/>
      <c r="J35" s="9"/>
      <c r="K35" s="1"/>
    </row>
    <row r="36" spans="1:11" ht="15" x14ac:dyDescent="0.35">
      <c r="B36" t="s">
        <v>83</v>
      </c>
      <c r="F36" s="13">
        <v>697640</v>
      </c>
      <c r="H36" s="23">
        <v>1.1000000000000001</v>
      </c>
      <c r="I36" s="11">
        <f>F36*H36</f>
        <v>767404.00000000012</v>
      </c>
      <c r="J36" s="9"/>
      <c r="K36" s="3">
        <v>713243</v>
      </c>
    </row>
    <row r="37" spans="1:11" x14ac:dyDescent="0.2">
      <c r="F37" s="6">
        <f>F36</f>
        <v>697640</v>
      </c>
      <c r="H37" s="9"/>
      <c r="I37" s="6">
        <f>I36</f>
        <v>767404.00000000012</v>
      </c>
      <c r="J37" s="9"/>
      <c r="K37" s="1">
        <v>713243</v>
      </c>
    </row>
    <row r="38" spans="1:11" x14ac:dyDescent="0.2">
      <c r="F38" s="6"/>
      <c r="H38" s="9"/>
      <c r="I38" s="6"/>
      <c r="J38" s="9"/>
      <c r="K38" s="1"/>
    </row>
    <row r="39" spans="1:11" x14ac:dyDescent="0.2">
      <c r="A39" s="2" t="s">
        <v>3</v>
      </c>
      <c r="F39" s="1"/>
      <c r="H39" s="9"/>
      <c r="I39" s="6"/>
      <c r="J39" s="9"/>
      <c r="K39" s="1"/>
    </row>
    <row r="40" spans="1:11" x14ac:dyDescent="0.2">
      <c r="A40" s="2"/>
      <c r="B40" s="2" t="s">
        <v>67</v>
      </c>
      <c r="F40" s="1"/>
      <c r="H40" s="9"/>
      <c r="I40" s="6"/>
      <c r="J40" s="9"/>
      <c r="K40" s="1"/>
    </row>
    <row r="41" spans="1:11" x14ac:dyDescent="0.2">
      <c r="B41" t="s">
        <v>4</v>
      </c>
      <c r="F41" s="19">
        <f>CTGprice!$I$21</f>
        <v>71700000</v>
      </c>
      <c r="G41" s="7"/>
      <c r="H41" s="23">
        <v>1.2</v>
      </c>
      <c r="I41" s="6">
        <f>F41*H41</f>
        <v>86040000</v>
      </c>
      <c r="J41" s="9"/>
      <c r="K41" s="1">
        <v>86040000</v>
      </c>
    </row>
    <row r="42" spans="1:11" x14ac:dyDescent="0.2">
      <c r="B42" t="s">
        <v>125</v>
      </c>
      <c r="F42" s="19">
        <f>1134420</f>
        <v>1134420</v>
      </c>
      <c r="G42" s="7"/>
      <c r="H42" s="23">
        <v>1.2</v>
      </c>
      <c r="I42" s="6">
        <f>F42*H42</f>
        <v>1361304</v>
      </c>
      <c r="J42" s="9"/>
      <c r="K42" s="1">
        <v>0</v>
      </c>
    </row>
    <row r="43" spans="1:11" x14ac:dyDescent="0.2">
      <c r="B43" t="s">
        <v>126</v>
      </c>
      <c r="F43" s="19">
        <v>34050</v>
      </c>
      <c r="G43" s="7"/>
      <c r="H43" s="23">
        <v>1.2</v>
      </c>
      <c r="I43" s="6">
        <f>F43*H43</f>
        <v>40860</v>
      </c>
      <c r="J43" s="9"/>
      <c r="K43" s="1">
        <v>0</v>
      </c>
    </row>
    <row r="44" spans="1:11" x14ac:dyDescent="0.2">
      <c r="B44" t="s">
        <v>27</v>
      </c>
      <c r="F44" s="19">
        <v>0</v>
      </c>
      <c r="G44" s="7"/>
      <c r="H44" s="23"/>
      <c r="I44" s="6">
        <v>0</v>
      </c>
      <c r="J44" s="9"/>
      <c r="K44" s="1">
        <v>1680000</v>
      </c>
    </row>
    <row r="45" spans="1:11" ht="15" x14ac:dyDescent="0.35">
      <c r="B45" t="s">
        <v>127</v>
      </c>
      <c r="F45" s="13">
        <v>300000</v>
      </c>
      <c r="G45" s="7"/>
      <c r="H45" s="23">
        <v>1.2</v>
      </c>
      <c r="I45" s="11">
        <f>F45*H45</f>
        <v>360000</v>
      </c>
      <c r="J45" s="9"/>
      <c r="K45" s="3">
        <v>600000</v>
      </c>
    </row>
    <row r="46" spans="1:11" x14ac:dyDescent="0.2">
      <c r="F46" s="6">
        <f>SUM(F41:F45)</f>
        <v>73168470</v>
      </c>
      <c r="H46" s="9"/>
      <c r="I46" s="6">
        <f>SUM(I41:I45)</f>
        <v>87802164</v>
      </c>
      <c r="J46" s="9"/>
      <c r="K46" s="6">
        <f>SUM(K41:K45)</f>
        <v>88320000</v>
      </c>
    </row>
    <row r="47" spans="1:11" x14ac:dyDescent="0.2">
      <c r="F47" s="6" t="s">
        <v>26</v>
      </c>
      <c r="H47" s="9"/>
      <c r="I47" s="6" t="s">
        <v>26</v>
      </c>
      <c r="J47" s="9"/>
    </row>
    <row r="48" spans="1:11" x14ac:dyDescent="0.2">
      <c r="F48" s="6"/>
      <c r="H48" s="9"/>
      <c r="I48" s="6"/>
      <c r="J48" s="9"/>
    </row>
    <row r="49" spans="2:11" x14ac:dyDescent="0.2">
      <c r="B49" s="2" t="s">
        <v>84</v>
      </c>
      <c r="F49" s="6"/>
      <c r="H49" s="9"/>
      <c r="I49" s="6"/>
      <c r="J49" s="9"/>
      <c r="K49" s="1"/>
    </row>
    <row r="50" spans="2:11" x14ac:dyDescent="0.2">
      <c r="B50" t="s">
        <v>13</v>
      </c>
      <c r="F50" s="12">
        <v>337500</v>
      </c>
      <c r="H50" s="23">
        <v>1.5</v>
      </c>
      <c r="I50" s="6">
        <f>F50*H50</f>
        <v>506250</v>
      </c>
      <c r="J50" s="9"/>
      <c r="K50" s="1">
        <v>393750</v>
      </c>
    </row>
    <row r="51" spans="2:11" x14ac:dyDescent="0.2">
      <c r="B51" t="s">
        <v>85</v>
      </c>
      <c r="F51" s="12">
        <v>329419</v>
      </c>
      <c r="H51" s="23">
        <v>1.1499999999999999</v>
      </c>
      <c r="I51" s="6">
        <f>F51*H51</f>
        <v>378831.85</v>
      </c>
      <c r="J51" s="9"/>
      <c r="K51" s="1">
        <v>384429</v>
      </c>
    </row>
    <row r="52" spans="2:11" x14ac:dyDescent="0.2">
      <c r="B52" t="s">
        <v>128</v>
      </c>
      <c r="F52" s="12">
        <v>187500</v>
      </c>
      <c r="H52" s="23">
        <v>1.1499999999999999</v>
      </c>
      <c r="I52" s="6">
        <f>F52*H52</f>
        <v>215624.99999999997</v>
      </c>
      <c r="J52" s="9"/>
      <c r="K52" s="1">
        <v>225000</v>
      </c>
    </row>
    <row r="53" spans="2:11" ht="13.5" thickBot="1" x14ac:dyDescent="0.25">
      <c r="B53" t="s">
        <v>86</v>
      </c>
      <c r="F53" s="12">
        <v>12440</v>
      </c>
      <c r="H53" s="23">
        <v>1.1499999999999999</v>
      </c>
      <c r="I53" s="6">
        <f>F53*H53</f>
        <v>14305.999999999998</v>
      </c>
      <c r="J53" s="9"/>
      <c r="K53" s="1">
        <v>16794</v>
      </c>
    </row>
    <row r="54" spans="2:11" ht="13.5" thickBot="1" x14ac:dyDescent="0.25">
      <c r="B54" t="s">
        <v>87</v>
      </c>
      <c r="F54" s="12">
        <v>1953000</v>
      </c>
      <c r="H54" s="23">
        <v>0</v>
      </c>
      <c r="I54" s="20">
        <v>3000000</v>
      </c>
      <c r="J54" s="9" t="s">
        <v>139</v>
      </c>
      <c r="K54" s="1">
        <v>2154000</v>
      </c>
    </row>
    <row r="55" spans="2:11" x14ac:dyDescent="0.2">
      <c r="B55" t="s">
        <v>88</v>
      </c>
      <c r="F55" s="12">
        <v>722528</v>
      </c>
      <c r="H55" s="23">
        <v>1.1000000000000001</v>
      </c>
      <c r="I55" s="6">
        <f t="shared" ref="I55:I72" si="1">F55*H55</f>
        <v>794780.8</v>
      </c>
      <c r="J55" s="9"/>
      <c r="K55" s="1">
        <v>841032</v>
      </c>
    </row>
    <row r="56" spans="2:11" x14ac:dyDescent="0.2">
      <c r="B56" t="s">
        <v>89</v>
      </c>
      <c r="F56" s="12">
        <v>104630</v>
      </c>
      <c r="H56" s="23">
        <v>1.2</v>
      </c>
      <c r="I56" s="6">
        <f t="shared" si="1"/>
        <v>125556</v>
      </c>
      <c r="J56" s="9"/>
      <c r="K56" s="1">
        <v>94842</v>
      </c>
    </row>
    <row r="57" spans="2:11" x14ac:dyDescent="0.2">
      <c r="B57" t="s">
        <v>90</v>
      </c>
      <c r="F57" s="12">
        <v>111005</v>
      </c>
      <c r="H57" s="23">
        <v>1.2</v>
      </c>
      <c r="I57" s="6">
        <f t="shared" si="1"/>
        <v>133206</v>
      </c>
      <c r="J57" s="9"/>
      <c r="K57" s="1">
        <v>94167</v>
      </c>
    </row>
    <row r="58" spans="2:11" x14ac:dyDescent="0.2">
      <c r="B58" t="s">
        <v>91</v>
      </c>
      <c r="F58" s="12">
        <v>163135</v>
      </c>
      <c r="H58" s="23">
        <v>1.2</v>
      </c>
      <c r="I58" s="6">
        <f t="shared" si="1"/>
        <v>195762</v>
      </c>
      <c r="J58" s="9"/>
      <c r="K58" s="1">
        <v>185634</v>
      </c>
    </row>
    <row r="59" spans="2:11" x14ac:dyDescent="0.2">
      <c r="B59" t="s">
        <v>101</v>
      </c>
      <c r="F59" s="12">
        <v>1043790</v>
      </c>
      <c r="H59" s="23">
        <v>1.2</v>
      </c>
      <c r="I59" s="6">
        <f t="shared" si="1"/>
        <v>1252548</v>
      </c>
      <c r="J59" s="9"/>
      <c r="K59" s="1">
        <v>1260048</v>
      </c>
    </row>
    <row r="60" spans="2:11" x14ac:dyDescent="0.2">
      <c r="B60" t="s">
        <v>92</v>
      </c>
      <c r="F60" s="12">
        <v>343950</v>
      </c>
      <c r="H60" s="23">
        <v>1.1499999999999999</v>
      </c>
      <c r="I60" s="6">
        <f t="shared" si="1"/>
        <v>395542.49999999994</v>
      </c>
      <c r="J60" s="9"/>
      <c r="K60" s="1">
        <v>326620</v>
      </c>
    </row>
    <row r="61" spans="2:11" x14ac:dyDescent="0.2">
      <c r="B61" t="s">
        <v>129</v>
      </c>
      <c r="F61" s="12">
        <v>49549</v>
      </c>
      <c r="H61" s="23">
        <v>1.1000000000000001</v>
      </c>
      <c r="I61" s="6">
        <f t="shared" si="1"/>
        <v>54503.9</v>
      </c>
      <c r="J61" s="9"/>
      <c r="K61" s="1">
        <v>46245</v>
      </c>
    </row>
    <row r="62" spans="2:11" x14ac:dyDescent="0.2">
      <c r="B62" t="s">
        <v>93</v>
      </c>
      <c r="F62" s="12">
        <v>252450</v>
      </c>
      <c r="H62" s="23">
        <v>1.1000000000000001</v>
      </c>
      <c r="I62" s="6">
        <f t="shared" si="1"/>
        <v>277695</v>
      </c>
      <c r="J62" s="9"/>
      <c r="K62" s="1">
        <v>305550</v>
      </c>
    </row>
    <row r="63" spans="2:11" x14ac:dyDescent="0.2">
      <c r="B63" t="s">
        <v>94</v>
      </c>
      <c r="F63" s="12">
        <v>20779</v>
      </c>
      <c r="H63" s="23">
        <v>1.1000000000000001</v>
      </c>
      <c r="I63" s="6">
        <f t="shared" si="1"/>
        <v>22856.9</v>
      </c>
      <c r="J63" s="9"/>
      <c r="K63" s="1">
        <v>25974</v>
      </c>
    </row>
    <row r="64" spans="2:11" x14ac:dyDescent="0.2">
      <c r="B64" t="s">
        <v>95</v>
      </c>
      <c r="F64" s="12">
        <v>183812</v>
      </c>
      <c r="H64" s="23">
        <v>1.1000000000000001</v>
      </c>
      <c r="I64" s="6">
        <f t="shared" si="1"/>
        <v>202193.2</v>
      </c>
      <c r="J64" s="9"/>
      <c r="K64" s="1">
        <v>109940</v>
      </c>
    </row>
    <row r="65" spans="2:12" x14ac:dyDescent="0.2">
      <c r="B65" t="s">
        <v>55</v>
      </c>
      <c r="F65" s="12">
        <v>642400</v>
      </c>
      <c r="H65" s="23">
        <v>1.2</v>
      </c>
      <c r="I65" s="6">
        <f t="shared" si="1"/>
        <v>770880</v>
      </c>
      <c r="J65" s="9"/>
      <c r="K65" s="1">
        <v>0</v>
      </c>
    </row>
    <row r="66" spans="2:12" x14ac:dyDescent="0.2">
      <c r="B66" t="s">
        <v>96</v>
      </c>
      <c r="F66" s="12">
        <v>50625</v>
      </c>
      <c r="H66" s="23">
        <v>1.1000000000000001</v>
      </c>
      <c r="I66" s="6">
        <f t="shared" si="1"/>
        <v>55687.500000000007</v>
      </c>
      <c r="J66" s="9"/>
      <c r="K66" s="1">
        <v>68875</v>
      </c>
    </row>
    <row r="67" spans="2:12" ht="13.5" thickBot="1" x14ac:dyDescent="0.25">
      <c r="B67" t="s">
        <v>97</v>
      </c>
      <c r="F67" s="12">
        <v>216233</v>
      </c>
      <c r="H67" s="23">
        <v>1.1000000000000001</v>
      </c>
      <c r="I67" s="6">
        <f t="shared" si="1"/>
        <v>237856.30000000002</v>
      </c>
      <c r="J67" s="9"/>
      <c r="K67" s="1">
        <v>271665</v>
      </c>
    </row>
    <row r="68" spans="2:12" ht="13.5" thickBot="1" x14ac:dyDescent="0.25">
      <c r="B68" t="s">
        <v>130</v>
      </c>
      <c r="F68" s="12">
        <v>792500</v>
      </c>
      <c r="H68" s="23">
        <v>0</v>
      </c>
      <c r="I68" s="20">
        <f t="shared" si="1"/>
        <v>0</v>
      </c>
      <c r="J68" s="9" t="s">
        <v>141</v>
      </c>
      <c r="K68" s="1">
        <v>0</v>
      </c>
    </row>
    <row r="69" spans="2:12" x14ac:dyDescent="0.2">
      <c r="B69" t="s">
        <v>131</v>
      </c>
      <c r="F69" s="12">
        <v>325500</v>
      </c>
      <c r="H69" s="23">
        <v>1.2</v>
      </c>
      <c r="I69" s="6">
        <f t="shared" si="1"/>
        <v>390600</v>
      </c>
      <c r="J69" s="9"/>
      <c r="K69" s="1">
        <v>0</v>
      </c>
    </row>
    <row r="70" spans="2:12" x14ac:dyDescent="0.2">
      <c r="B70" t="s">
        <v>98</v>
      </c>
      <c r="F70" s="12">
        <v>6305000</v>
      </c>
      <c r="H70" s="23">
        <v>0</v>
      </c>
      <c r="I70" s="6">
        <f t="shared" si="1"/>
        <v>0</v>
      </c>
      <c r="J70" s="9"/>
      <c r="K70" s="1">
        <v>0</v>
      </c>
    </row>
    <row r="71" spans="2:12" x14ac:dyDescent="0.2">
      <c r="B71" t="s">
        <v>99</v>
      </c>
      <c r="F71" s="12">
        <v>975000</v>
      </c>
      <c r="H71" s="23">
        <v>0</v>
      </c>
      <c r="I71" s="6">
        <f t="shared" si="1"/>
        <v>0</v>
      </c>
      <c r="J71" s="9"/>
      <c r="K71" s="1">
        <v>2120000</v>
      </c>
    </row>
    <row r="72" spans="2:12" x14ac:dyDescent="0.2">
      <c r="B72" t="s">
        <v>132</v>
      </c>
      <c r="F72" s="12">
        <v>104000</v>
      </c>
      <c r="H72" s="23">
        <v>1.2</v>
      </c>
      <c r="I72" s="6">
        <f t="shared" si="1"/>
        <v>124800</v>
      </c>
      <c r="J72" s="9"/>
      <c r="K72" s="1">
        <v>168000</v>
      </c>
    </row>
    <row r="73" spans="2:12" x14ac:dyDescent="0.2">
      <c r="B73" t="s">
        <v>35</v>
      </c>
      <c r="F73" s="12">
        <v>4642500</v>
      </c>
      <c r="H73" s="23">
        <v>0</v>
      </c>
      <c r="I73" s="6">
        <f>4*1000000</f>
        <v>4000000</v>
      </c>
      <c r="J73" s="9" t="s">
        <v>140</v>
      </c>
      <c r="K73" s="1">
        <v>4600000</v>
      </c>
    </row>
    <row r="74" spans="2:12" x14ac:dyDescent="0.2">
      <c r="B74" t="s">
        <v>154</v>
      </c>
      <c r="F74" s="12">
        <v>0</v>
      </c>
      <c r="H74" s="23"/>
      <c r="I74" s="6">
        <v>0</v>
      </c>
      <c r="J74" s="9"/>
      <c r="K74" s="1">
        <v>620000</v>
      </c>
      <c r="L74" t="s">
        <v>159</v>
      </c>
    </row>
    <row r="75" spans="2:12" x14ac:dyDescent="0.2">
      <c r="B75" t="s">
        <v>155</v>
      </c>
      <c r="F75" s="12">
        <v>0</v>
      </c>
      <c r="H75" s="23"/>
      <c r="I75" s="6">
        <v>0</v>
      </c>
      <c r="J75" s="9"/>
      <c r="K75" s="1">
        <v>1260000</v>
      </c>
      <c r="L75" t="s">
        <v>159</v>
      </c>
    </row>
    <row r="76" spans="2:12" x14ac:dyDescent="0.2">
      <c r="B76" t="s">
        <v>133</v>
      </c>
      <c r="F76" s="12">
        <v>413200</v>
      </c>
      <c r="H76" s="23">
        <v>1.7</v>
      </c>
      <c r="I76" s="6">
        <f>F76*H76</f>
        <v>702440</v>
      </c>
      <c r="J76" s="9"/>
      <c r="K76" s="1">
        <v>548100</v>
      </c>
    </row>
    <row r="77" spans="2:12" x14ac:dyDescent="0.2">
      <c r="B77" t="s">
        <v>100</v>
      </c>
      <c r="F77" s="12">
        <v>387000</v>
      </c>
      <c r="H77" s="23">
        <v>1.1000000000000001</v>
      </c>
      <c r="I77" s="6">
        <f>F77*H77</f>
        <v>425700.00000000006</v>
      </c>
      <c r="J77" s="9"/>
      <c r="K77" s="1">
        <v>82350</v>
      </c>
    </row>
    <row r="78" spans="2:12" x14ac:dyDescent="0.2">
      <c r="B78" t="s">
        <v>135</v>
      </c>
      <c r="E78" t="s">
        <v>26</v>
      </c>
      <c r="F78" s="19">
        <v>182375</v>
      </c>
      <c r="G78" s="7"/>
      <c r="H78" s="26">
        <v>1.1000000000000001</v>
      </c>
      <c r="I78" s="27">
        <f>F78*H78</f>
        <v>200612.50000000003</v>
      </c>
      <c r="J78" s="9"/>
      <c r="K78" s="1">
        <v>364750</v>
      </c>
    </row>
    <row r="79" spans="2:12" x14ac:dyDescent="0.2">
      <c r="B79" t="s">
        <v>156</v>
      </c>
      <c r="F79" s="19">
        <v>0</v>
      </c>
      <c r="G79" s="7"/>
      <c r="H79" s="26"/>
      <c r="I79" s="27">
        <v>0</v>
      </c>
      <c r="J79" s="9"/>
      <c r="K79" s="1">
        <v>2250000</v>
      </c>
    </row>
    <row r="80" spans="2:12" x14ac:dyDescent="0.2">
      <c r="B80" t="s">
        <v>134</v>
      </c>
      <c r="F80" s="12">
        <v>36600</v>
      </c>
      <c r="H80" s="23">
        <v>1.1000000000000001</v>
      </c>
      <c r="I80" s="6">
        <f>F80*H80</f>
        <v>40260</v>
      </c>
      <c r="J80" s="9"/>
      <c r="K80" s="1">
        <v>532500</v>
      </c>
    </row>
    <row r="81" spans="1:11" ht="15" x14ac:dyDescent="0.35">
      <c r="B81" t="s">
        <v>157</v>
      </c>
      <c r="E81" t="s">
        <v>26</v>
      </c>
      <c r="F81" s="13">
        <v>182375</v>
      </c>
      <c r="H81" s="23">
        <v>1.1000000000000001</v>
      </c>
      <c r="I81" s="11">
        <f>F81*H81</f>
        <v>200612.50000000003</v>
      </c>
      <c r="J81" s="9"/>
      <c r="K81" s="3">
        <v>566544</v>
      </c>
    </row>
    <row r="82" spans="1:11" x14ac:dyDescent="0.2">
      <c r="F82" s="1">
        <f>SUM(F50:F81)</f>
        <v>21070795</v>
      </c>
      <c r="H82" s="9"/>
      <c r="I82" s="6">
        <f>SUM(I50:I81)</f>
        <v>14719105.950000001</v>
      </c>
      <c r="J82" s="9"/>
      <c r="K82" s="1">
        <v>19916806</v>
      </c>
    </row>
    <row r="83" spans="1:11" x14ac:dyDescent="0.2">
      <c r="F83" s="1"/>
      <c r="H83" s="9"/>
      <c r="I83" s="6"/>
      <c r="J83" s="9"/>
      <c r="K83" s="1"/>
    </row>
    <row r="84" spans="1:11" x14ac:dyDescent="0.2">
      <c r="A84" s="2" t="s">
        <v>26</v>
      </c>
      <c r="B84" s="2" t="s">
        <v>102</v>
      </c>
      <c r="F84" s="1"/>
      <c r="H84" s="9"/>
      <c r="I84" s="6"/>
      <c r="J84" s="9"/>
      <c r="K84" s="1"/>
    </row>
    <row r="85" spans="1:11" ht="15" x14ac:dyDescent="0.35">
      <c r="B85" t="s">
        <v>102</v>
      </c>
      <c r="F85" s="13">
        <v>3563752</v>
      </c>
      <c r="H85" s="23">
        <v>1.1499999999999999</v>
      </c>
      <c r="I85" s="11">
        <f>F85*H85</f>
        <v>4098314.8</v>
      </c>
      <c r="J85" s="9"/>
      <c r="K85" s="3">
        <v>5044243</v>
      </c>
    </row>
    <row r="86" spans="1:11" x14ac:dyDescent="0.2">
      <c r="F86" s="1">
        <f>F85</f>
        <v>3563752</v>
      </c>
      <c r="H86" s="9"/>
      <c r="I86" s="6">
        <f>I85</f>
        <v>4098314.8</v>
      </c>
      <c r="J86" s="9"/>
      <c r="K86" s="1">
        <v>5044243</v>
      </c>
    </row>
    <row r="87" spans="1:11" x14ac:dyDescent="0.2">
      <c r="F87" s="1"/>
      <c r="H87" s="9"/>
      <c r="I87" s="6"/>
      <c r="J87" s="9"/>
      <c r="K87" s="1"/>
    </row>
    <row r="88" spans="1:11" x14ac:dyDescent="0.2">
      <c r="B88" s="2" t="s">
        <v>103</v>
      </c>
      <c r="F88" s="1">
        <f>F46+F82+F86</f>
        <v>97803017</v>
      </c>
      <c r="H88" s="9"/>
      <c r="I88" s="6">
        <f>I46+I82+I86</f>
        <v>106619584.75</v>
      </c>
      <c r="J88" s="9"/>
      <c r="K88" s="1">
        <v>113281049</v>
      </c>
    </row>
    <row r="89" spans="1:11" x14ac:dyDescent="0.2">
      <c r="F89" s="1"/>
      <c r="H89" s="9"/>
      <c r="I89" s="6"/>
      <c r="J89" s="9"/>
      <c r="K89" s="1"/>
    </row>
    <row r="90" spans="1:11" x14ac:dyDescent="0.2">
      <c r="A90" s="2" t="s">
        <v>5</v>
      </c>
      <c r="F90" s="1" t="s">
        <v>26</v>
      </c>
      <c r="H90" s="9"/>
      <c r="I90" s="6" t="s">
        <v>26</v>
      </c>
      <c r="J90" s="9"/>
      <c r="K90" s="1"/>
    </row>
    <row r="91" spans="1:11" x14ac:dyDescent="0.2">
      <c r="B91" t="s">
        <v>6</v>
      </c>
      <c r="F91" s="12">
        <v>505265</v>
      </c>
      <c r="H91" s="23">
        <v>1.1499999999999999</v>
      </c>
      <c r="I91" s="6">
        <f t="shared" ref="I91:I104" si="2">F91*H91</f>
        <v>581054.75</v>
      </c>
      <c r="J91" s="9"/>
      <c r="K91" s="1">
        <v>910904</v>
      </c>
    </row>
    <row r="92" spans="1:11" x14ac:dyDescent="0.2">
      <c r="B92" t="s">
        <v>7</v>
      </c>
      <c r="F92" s="12">
        <v>1281105</v>
      </c>
      <c r="H92" s="23">
        <v>1.1499999999999999</v>
      </c>
      <c r="I92" s="6">
        <f t="shared" si="2"/>
        <v>1473270.75</v>
      </c>
      <c r="J92" s="9"/>
      <c r="K92" s="1">
        <v>657630</v>
      </c>
    </row>
    <row r="93" spans="1:11" x14ac:dyDescent="0.2">
      <c r="B93" t="s">
        <v>8</v>
      </c>
      <c r="F93" s="12">
        <v>838121</v>
      </c>
      <c r="H93" s="23">
        <v>1.1499999999999999</v>
      </c>
      <c r="I93" s="6">
        <f t="shared" si="2"/>
        <v>963839.14999999991</v>
      </c>
      <c r="J93" s="9"/>
      <c r="K93" s="1">
        <v>445017</v>
      </c>
    </row>
    <row r="94" spans="1:11" x14ac:dyDescent="0.2">
      <c r="B94" t="s">
        <v>9</v>
      </c>
      <c r="F94" s="12">
        <v>2406030</v>
      </c>
      <c r="H94" s="23">
        <v>1.1499999999999999</v>
      </c>
      <c r="I94" s="6">
        <f t="shared" si="2"/>
        <v>2766934.5</v>
      </c>
      <c r="J94" s="9"/>
      <c r="K94" s="1">
        <v>1129472</v>
      </c>
    </row>
    <row r="95" spans="1:11" x14ac:dyDescent="0.2">
      <c r="B95" t="s">
        <v>10</v>
      </c>
      <c r="F95" s="12">
        <v>134599</v>
      </c>
      <c r="H95" s="23">
        <v>1.1499999999999999</v>
      </c>
      <c r="I95" s="6">
        <f t="shared" si="2"/>
        <v>154788.84999999998</v>
      </c>
      <c r="J95" s="9"/>
      <c r="K95" s="1">
        <v>58075</v>
      </c>
    </row>
    <row r="96" spans="1:11" x14ac:dyDescent="0.2">
      <c r="B96" t="s">
        <v>11</v>
      </c>
      <c r="F96" s="12">
        <v>154773</v>
      </c>
      <c r="H96" s="23">
        <v>1.1499999999999999</v>
      </c>
      <c r="I96" s="6">
        <f t="shared" si="2"/>
        <v>177988.94999999998</v>
      </c>
      <c r="J96" s="9"/>
      <c r="K96" s="1">
        <v>62727</v>
      </c>
    </row>
    <row r="97" spans="1:11" x14ac:dyDescent="0.2">
      <c r="B97" t="s">
        <v>12</v>
      </c>
      <c r="F97" s="12">
        <v>2724</v>
      </c>
      <c r="H97" s="23">
        <v>1.1499999999999999</v>
      </c>
      <c r="I97" s="6">
        <f t="shared" si="2"/>
        <v>3132.6</v>
      </c>
      <c r="J97" s="9"/>
      <c r="K97" s="1">
        <v>3814</v>
      </c>
    </row>
    <row r="98" spans="1:11" x14ac:dyDescent="0.2">
      <c r="B98" t="s">
        <v>13</v>
      </c>
      <c r="F98" s="12">
        <v>280613</v>
      </c>
      <c r="H98" s="23">
        <v>1.1499999999999999</v>
      </c>
      <c r="I98" s="6">
        <f t="shared" si="2"/>
        <v>322704.94999999995</v>
      </c>
      <c r="J98" s="9"/>
      <c r="K98" s="1">
        <v>157550</v>
      </c>
    </row>
    <row r="99" spans="1:11" x14ac:dyDescent="0.2">
      <c r="B99" t="s">
        <v>14</v>
      </c>
      <c r="F99" s="12">
        <v>2304369</v>
      </c>
      <c r="H99" s="23">
        <v>1.1499999999999999</v>
      </c>
      <c r="I99" s="6">
        <f t="shared" si="2"/>
        <v>2650024.3499999996</v>
      </c>
      <c r="J99" s="9"/>
      <c r="K99" s="1">
        <v>1074572</v>
      </c>
    </row>
    <row r="100" spans="1:11" x14ac:dyDescent="0.2">
      <c r="B100" t="s">
        <v>25</v>
      </c>
      <c r="F100" s="12">
        <v>1979274</v>
      </c>
      <c r="H100" s="23">
        <v>1.1499999999999999</v>
      </c>
      <c r="I100" s="6">
        <f t="shared" si="2"/>
        <v>2276165.0999999996</v>
      </c>
      <c r="J100" s="9"/>
      <c r="K100" s="1">
        <v>1086685</v>
      </c>
    </row>
    <row r="101" spans="1:11" x14ac:dyDescent="0.2">
      <c r="B101" t="s">
        <v>15</v>
      </c>
      <c r="F101" s="12">
        <v>309040</v>
      </c>
      <c r="H101" s="23">
        <v>1.1499999999999999</v>
      </c>
      <c r="I101" s="6">
        <f t="shared" si="2"/>
        <v>355396</v>
      </c>
      <c r="J101" s="9"/>
      <c r="K101" s="1">
        <v>201616</v>
      </c>
    </row>
    <row r="102" spans="1:11" x14ac:dyDescent="0.2">
      <c r="B102" t="s">
        <v>16</v>
      </c>
      <c r="F102" s="12">
        <v>202466</v>
      </c>
      <c r="H102" s="23">
        <v>1.1499999999999999</v>
      </c>
      <c r="I102" s="6">
        <f t="shared" si="2"/>
        <v>232835.9</v>
      </c>
      <c r="J102" s="9"/>
      <c r="K102" s="1">
        <v>205509</v>
      </c>
    </row>
    <row r="103" spans="1:11" x14ac:dyDescent="0.2">
      <c r="B103" t="s">
        <v>17</v>
      </c>
      <c r="F103" s="12">
        <v>25586</v>
      </c>
      <c r="H103" s="23">
        <v>1.1499999999999999</v>
      </c>
      <c r="I103" s="6">
        <f t="shared" si="2"/>
        <v>29423.899999999998</v>
      </c>
      <c r="J103" s="9"/>
      <c r="K103" s="1">
        <v>26272</v>
      </c>
    </row>
    <row r="104" spans="1:11" ht="15" x14ac:dyDescent="0.35">
      <c r="B104" t="s">
        <v>18</v>
      </c>
      <c r="F104" s="13">
        <v>1711599</v>
      </c>
      <c r="H104" s="23">
        <v>1.1499999999999999</v>
      </c>
      <c r="I104" s="11">
        <f t="shared" si="2"/>
        <v>1968338.8499999999</v>
      </c>
      <c r="J104" s="9"/>
      <c r="K104" s="3">
        <v>907944</v>
      </c>
    </row>
    <row r="105" spans="1:11" x14ac:dyDescent="0.2">
      <c r="F105" s="1">
        <f>SUM(F91:F104)</f>
        <v>12135564</v>
      </c>
      <c r="H105" s="9"/>
      <c r="I105" s="6">
        <f>SUM(I91:I104)</f>
        <v>13955898.6</v>
      </c>
      <c r="J105" s="9"/>
      <c r="K105" s="1">
        <v>6927784</v>
      </c>
    </row>
    <row r="106" spans="1:11" x14ac:dyDescent="0.2">
      <c r="F106" s="1"/>
      <c r="H106" s="9"/>
      <c r="I106" s="6"/>
      <c r="J106" s="9"/>
      <c r="K106" s="1"/>
    </row>
    <row r="107" spans="1:11" x14ac:dyDescent="0.2">
      <c r="A107" s="2" t="s">
        <v>104</v>
      </c>
      <c r="F107" s="1" t="s">
        <v>26</v>
      </c>
      <c r="H107" s="9"/>
      <c r="I107" s="6" t="s">
        <v>26</v>
      </c>
      <c r="J107" s="9"/>
      <c r="K107" s="1" t="s">
        <v>153</v>
      </c>
    </row>
    <row r="108" spans="1:11" x14ac:dyDescent="0.2">
      <c r="B108" t="s">
        <v>2</v>
      </c>
      <c r="F108" s="12">
        <v>632940</v>
      </c>
      <c r="H108" s="23">
        <v>1.1499999999999999</v>
      </c>
      <c r="I108" s="6">
        <f>F108*H108</f>
        <v>727881</v>
      </c>
      <c r="J108" s="9"/>
      <c r="K108" s="1">
        <v>759528</v>
      </c>
    </row>
    <row r="109" spans="1:11" x14ac:dyDescent="0.2">
      <c r="B109" t="s">
        <v>105</v>
      </c>
      <c r="F109" s="12">
        <v>10000</v>
      </c>
      <c r="H109" s="23">
        <v>1</v>
      </c>
      <c r="I109" s="6">
        <f>F109*H109</f>
        <v>10000</v>
      </c>
      <c r="J109" s="9"/>
      <c r="K109" s="1">
        <v>12500</v>
      </c>
    </row>
    <row r="110" spans="1:11" x14ac:dyDescent="0.2">
      <c r="B110" t="s">
        <v>106</v>
      </c>
      <c r="F110" s="12">
        <v>106250</v>
      </c>
      <c r="H110" s="23">
        <v>1.2</v>
      </c>
      <c r="I110" s="6">
        <f>F110*H110</f>
        <v>127500</v>
      </c>
      <c r="J110" s="9"/>
      <c r="K110" s="1">
        <v>123250</v>
      </c>
    </row>
    <row r="111" spans="1:11" x14ac:dyDescent="0.2">
      <c r="B111" t="s">
        <v>107</v>
      </c>
      <c r="F111" s="12">
        <v>28000</v>
      </c>
      <c r="H111" s="23">
        <v>1</v>
      </c>
      <c r="I111" s="6">
        <f>F111*H111</f>
        <v>28000</v>
      </c>
      <c r="J111" s="9"/>
      <c r="K111" s="1">
        <v>40600</v>
      </c>
    </row>
    <row r="112" spans="1:11" ht="15" x14ac:dyDescent="0.35">
      <c r="B112" t="s">
        <v>108</v>
      </c>
      <c r="F112" s="13">
        <v>194990</v>
      </c>
      <c r="H112" s="23">
        <v>1.1000000000000001</v>
      </c>
      <c r="I112" s="11">
        <f>F112*H112</f>
        <v>214489.00000000003</v>
      </c>
      <c r="J112" s="9"/>
      <c r="K112" s="3">
        <v>112018</v>
      </c>
    </row>
    <row r="113" spans="1:12" x14ac:dyDescent="0.2">
      <c r="F113" s="1">
        <f>SUM(F108:F112)</f>
        <v>972180</v>
      </c>
      <c r="H113" s="9"/>
      <c r="I113" s="6">
        <f>SUM(I108:I112)</f>
        <v>1107870</v>
      </c>
      <c r="J113" s="9"/>
      <c r="K113" s="1">
        <v>1047896</v>
      </c>
    </row>
    <row r="114" spans="1:12" x14ac:dyDescent="0.2">
      <c r="F114" s="1"/>
      <c r="H114" s="9"/>
      <c r="I114" s="6"/>
      <c r="J114" s="9"/>
      <c r="K114" s="1"/>
    </row>
    <row r="115" spans="1:12" x14ac:dyDescent="0.2">
      <c r="A115" s="2" t="s">
        <v>109</v>
      </c>
      <c r="F115" s="1" t="s">
        <v>26</v>
      </c>
      <c r="H115" s="9"/>
      <c r="I115" s="6" t="s">
        <v>26</v>
      </c>
      <c r="J115" s="9"/>
      <c r="K115" s="1" t="s">
        <v>153</v>
      </c>
    </row>
    <row r="116" spans="1:12" ht="15" x14ac:dyDescent="0.35">
      <c r="B116" t="s">
        <v>110</v>
      </c>
      <c r="F116" s="13">
        <v>25000</v>
      </c>
      <c r="H116" s="23">
        <v>1.1000000000000001</v>
      </c>
      <c r="I116" s="11">
        <f>F116*H116</f>
        <v>27500.000000000004</v>
      </c>
      <c r="J116" s="9"/>
      <c r="K116" s="3">
        <v>43750</v>
      </c>
    </row>
    <row r="117" spans="1:12" x14ac:dyDescent="0.2">
      <c r="F117" s="1">
        <f>F116</f>
        <v>25000</v>
      </c>
      <c r="H117" s="9"/>
      <c r="I117" s="6">
        <f>I116</f>
        <v>27500.000000000004</v>
      </c>
      <c r="J117" s="9"/>
      <c r="K117" s="1">
        <v>43750</v>
      </c>
    </row>
    <row r="118" spans="1:12" x14ac:dyDescent="0.2">
      <c r="F118" s="1"/>
      <c r="H118" s="9"/>
      <c r="I118" s="6"/>
      <c r="J118" s="9"/>
      <c r="K118" s="1"/>
    </row>
    <row r="119" spans="1:12" ht="13.5" thickBot="1" x14ac:dyDescent="0.25">
      <c r="A119" s="2" t="s">
        <v>142</v>
      </c>
      <c r="F119" s="1" t="s">
        <v>26</v>
      </c>
      <c r="H119" s="9"/>
      <c r="I119" s="6" t="s">
        <v>26</v>
      </c>
      <c r="J119" s="9"/>
      <c r="K119" s="1" t="s">
        <v>153</v>
      </c>
    </row>
    <row r="120" spans="1:12" ht="13.5" thickBot="1" x14ac:dyDescent="0.25">
      <c r="B120" t="s">
        <v>143</v>
      </c>
      <c r="F120" s="12">
        <v>0</v>
      </c>
      <c r="H120" s="23" t="s">
        <v>26</v>
      </c>
      <c r="I120" s="20">
        <f>3*225000+3*500000+75000</f>
        <v>2250000</v>
      </c>
      <c r="J120" s="9" t="s">
        <v>149</v>
      </c>
      <c r="K120" s="28">
        <f>11*425000</f>
        <v>4675000</v>
      </c>
      <c r="L120" t="s">
        <v>160</v>
      </c>
    </row>
    <row r="121" spans="1:12" ht="13.5" thickBot="1" x14ac:dyDescent="0.25">
      <c r="B121" t="s">
        <v>144</v>
      </c>
      <c r="F121" s="12">
        <v>0</v>
      </c>
      <c r="H121" s="23" t="s">
        <v>26</v>
      </c>
      <c r="I121" s="20">
        <f>4.5*12*50000</f>
        <v>2700000</v>
      </c>
      <c r="J121" s="9" t="s">
        <v>148</v>
      </c>
      <c r="K121" s="28">
        <v>1400000</v>
      </c>
    </row>
    <row r="122" spans="1:12" ht="13.5" thickBot="1" x14ac:dyDescent="0.25">
      <c r="B122" t="s">
        <v>145</v>
      </c>
      <c r="F122" s="12">
        <v>0</v>
      </c>
      <c r="H122" s="23" t="s">
        <v>26</v>
      </c>
      <c r="I122" s="20">
        <v>0</v>
      </c>
      <c r="J122" s="9" t="s">
        <v>147</v>
      </c>
      <c r="K122" s="28">
        <v>1500000</v>
      </c>
    </row>
    <row r="123" spans="1:12" ht="13.5" thickBot="1" x14ac:dyDescent="0.25">
      <c r="B123" t="s">
        <v>146</v>
      </c>
      <c r="F123" s="12">
        <v>0</v>
      </c>
      <c r="H123" s="23" t="s">
        <v>26</v>
      </c>
      <c r="I123" s="20">
        <v>173000</v>
      </c>
      <c r="J123" s="9"/>
      <c r="K123" s="28">
        <v>173000</v>
      </c>
    </row>
    <row r="124" spans="1:12" ht="15.75" thickBot="1" x14ac:dyDescent="0.4">
      <c r="B124" t="s">
        <v>158</v>
      </c>
      <c r="F124" s="13">
        <v>0</v>
      </c>
      <c r="H124" s="23" t="s">
        <v>26</v>
      </c>
      <c r="I124" s="20">
        <v>0</v>
      </c>
      <c r="J124" s="9"/>
      <c r="K124" s="29">
        <v>600000</v>
      </c>
    </row>
    <row r="125" spans="1:12" x14ac:dyDescent="0.2">
      <c r="F125" s="1">
        <f>SUM(F120:F124)</f>
        <v>0</v>
      </c>
      <c r="H125" s="9"/>
      <c r="I125" s="6">
        <f>SUM(I120:I124)</f>
        <v>5123000</v>
      </c>
      <c r="J125" s="9"/>
      <c r="K125" s="6">
        <f>SUM(K120:K124)</f>
        <v>8348000</v>
      </c>
    </row>
    <row r="126" spans="1:12" x14ac:dyDescent="0.2">
      <c r="F126" s="1"/>
      <c r="H126" s="9"/>
      <c r="I126" s="6"/>
      <c r="J126" s="9"/>
      <c r="K126" s="1"/>
    </row>
    <row r="127" spans="1:12" x14ac:dyDescent="0.2">
      <c r="F127" s="1"/>
      <c r="H127" s="9"/>
      <c r="I127" s="6"/>
      <c r="J127" s="9"/>
      <c r="K127" s="1"/>
    </row>
    <row r="128" spans="1:12" x14ac:dyDescent="0.2">
      <c r="A128" s="2" t="s">
        <v>19</v>
      </c>
      <c r="F128" s="1">
        <f>F12+F33+F37+F88+F105+F113+F117+I125</f>
        <v>125333319</v>
      </c>
      <c r="H128" s="9"/>
      <c r="I128" s="6">
        <f>I12+I33+I37+I88+I105+I113+I117+I125</f>
        <v>137035867.14999998</v>
      </c>
      <c r="J128" s="9"/>
      <c r="K128" s="6">
        <f>K12+K33+K37+K88+K105+K113+K117+K125</f>
        <v>134864677</v>
      </c>
    </row>
    <row r="129" spans="1:11" x14ac:dyDescent="0.2">
      <c r="F129" s="1"/>
      <c r="H129" s="9"/>
      <c r="I129" s="6"/>
      <c r="J129" s="9"/>
      <c r="K129" s="6"/>
    </row>
    <row r="130" spans="1:11" ht="15" x14ac:dyDescent="0.35">
      <c r="B130" t="s">
        <v>20</v>
      </c>
      <c r="C130" s="15">
        <v>0.02</v>
      </c>
      <c r="F130" s="3">
        <f>$C$130*F128</f>
        <v>2506666.38</v>
      </c>
      <c r="H130" s="9"/>
      <c r="I130" s="11">
        <f>$C$130*I128</f>
        <v>2740717.3429999994</v>
      </c>
      <c r="J130" s="9"/>
      <c r="K130" s="11">
        <f>$C$130*K128</f>
        <v>2697293.54</v>
      </c>
    </row>
    <row r="131" spans="1:11" x14ac:dyDescent="0.2">
      <c r="F131" s="1"/>
      <c r="H131" s="9"/>
      <c r="I131" s="6"/>
      <c r="J131" s="9"/>
      <c r="K131" s="6"/>
    </row>
    <row r="132" spans="1:11" x14ac:dyDescent="0.2">
      <c r="A132" s="2" t="s">
        <v>21</v>
      </c>
      <c r="F132" s="1">
        <f>F128+F130</f>
        <v>127839985.38</v>
      </c>
      <c r="H132" s="9"/>
      <c r="I132" s="6">
        <f>I128+I130</f>
        <v>139776584.49299997</v>
      </c>
      <c r="J132" s="9"/>
      <c r="K132" s="6">
        <f>K128+K130</f>
        <v>137561970.53999999</v>
      </c>
    </row>
    <row r="133" spans="1:11" x14ac:dyDescent="0.2">
      <c r="F133" s="1" t="s">
        <v>26</v>
      </c>
      <c r="H133" s="9"/>
      <c r="I133" s="6" t="s">
        <v>26</v>
      </c>
      <c r="J133" s="9"/>
      <c r="K133" s="6" t="s">
        <v>26</v>
      </c>
    </row>
    <row r="134" spans="1:11" x14ac:dyDescent="0.2">
      <c r="B134" t="s">
        <v>22</v>
      </c>
      <c r="C134" s="15" t="s">
        <v>26</v>
      </c>
      <c r="D134" s="15">
        <v>0.02</v>
      </c>
      <c r="F134" s="1">
        <f>$D$134*F132</f>
        <v>2556799.7075999998</v>
      </c>
      <c r="H134" s="15">
        <v>1.4999999999999999E-2</v>
      </c>
      <c r="I134" s="6">
        <f>$H$134*I132</f>
        <v>2096648.7673949995</v>
      </c>
      <c r="J134" s="9"/>
      <c r="K134" s="6">
        <f>$H$134*K132</f>
        <v>2063429.5580999998</v>
      </c>
    </row>
    <row r="135" spans="1:11" ht="15" x14ac:dyDescent="0.35">
      <c r="B135" t="s">
        <v>24</v>
      </c>
      <c r="C135" s="15" t="s">
        <v>26</v>
      </c>
      <c r="D135" s="15">
        <v>0.06</v>
      </c>
      <c r="F135" s="3">
        <f>$D$135*F132</f>
        <v>7670399.1227999991</v>
      </c>
      <c r="H135" s="15">
        <v>0.06</v>
      </c>
      <c r="I135" s="11">
        <f>$H$135*I132</f>
        <v>8386595.069579998</v>
      </c>
      <c r="J135" s="9"/>
      <c r="K135" s="11">
        <f>$H$135*K132</f>
        <v>8253718.2323999992</v>
      </c>
    </row>
    <row r="136" spans="1:11" x14ac:dyDescent="0.2">
      <c r="C136" t="s">
        <v>26</v>
      </c>
      <c r="H136" s="9"/>
      <c r="I136" s="9"/>
      <c r="J136" s="9"/>
      <c r="K136" s="9"/>
    </row>
    <row r="137" spans="1:11" x14ac:dyDescent="0.2">
      <c r="A137" s="2" t="s">
        <v>23</v>
      </c>
      <c r="F137" s="1">
        <f>F132+F134+F135</f>
        <v>138067184.21039999</v>
      </c>
      <c r="H137" s="9"/>
      <c r="I137" s="6">
        <f>I132+I134+I135</f>
        <v>150259828.32997495</v>
      </c>
      <c r="J137" s="9"/>
      <c r="K137" s="6">
        <f>K132+K134+K135</f>
        <v>147879118.33049998</v>
      </c>
    </row>
    <row r="138" spans="1:11" x14ac:dyDescent="0.2">
      <c r="A138" s="2" t="s">
        <v>26</v>
      </c>
      <c r="F138" s="1"/>
      <c r="H138" s="9"/>
      <c r="I138" s="6"/>
      <c r="J138" s="9"/>
      <c r="K138" s="6"/>
    </row>
    <row r="139" spans="1:11" x14ac:dyDescent="0.2">
      <c r="A139" s="2" t="s">
        <v>150</v>
      </c>
      <c r="F139" s="17">
        <v>225</v>
      </c>
      <c r="H139" s="9"/>
      <c r="I139" s="17">
        <v>277</v>
      </c>
      <c r="J139" s="9"/>
      <c r="K139" s="17">
        <v>273</v>
      </c>
    </row>
    <row r="140" spans="1:11" x14ac:dyDescent="0.2">
      <c r="A140" s="2" t="s">
        <v>26</v>
      </c>
      <c r="H140" s="9"/>
      <c r="I140" s="9"/>
      <c r="J140" s="9"/>
      <c r="K140" s="9"/>
    </row>
    <row r="141" spans="1:11" x14ac:dyDescent="0.2">
      <c r="F141" s="1">
        <f>F137/(F139*1000)</f>
        <v>613.63192982399994</v>
      </c>
      <c r="H141" s="9"/>
      <c r="I141" s="1">
        <f>I137/(I139*1000)</f>
        <v>542.45425389882655</v>
      </c>
      <c r="J141" s="9"/>
      <c r="K141" s="1">
        <f>K137/(K139*1000)</f>
        <v>541.68175212637357</v>
      </c>
    </row>
    <row r="142" spans="1:11" x14ac:dyDescent="0.2">
      <c r="A142" s="2" t="s">
        <v>26</v>
      </c>
      <c r="H142" s="9"/>
      <c r="I142" s="9"/>
      <c r="J142" s="9"/>
      <c r="K142" s="9"/>
    </row>
    <row r="143" spans="1:11" x14ac:dyDescent="0.2">
      <c r="C143" s="9"/>
      <c r="E143" s="9"/>
      <c r="F143" s="9"/>
      <c r="G143" s="9"/>
      <c r="H143" s="9"/>
      <c r="I143" s="9"/>
      <c r="J143" s="9"/>
      <c r="K143" s="9"/>
    </row>
    <row r="144" spans="1:11" x14ac:dyDescent="0.2">
      <c r="C144" s="9"/>
      <c r="E144" s="9"/>
      <c r="F144" s="9"/>
      <c r="G144" s="9"/>
      <c r="H144" s="9"/>
      <c r="I144" s="9"/>
      <c r="J144" s="9"/>
      <c r="K144" s="9"/>
    </row>
    <row r="145" spans="3:11" x14ac:dyDescent="0.2">
      <c r="C145" s="9"/>
      <c r="E145" s="9"/>
      <c r="F145" s="9"/>
      <c r="G145" s="9"/>
      <c r="H145" s="9"/>
      <c r="I145" s="9"/>
      <c r="J145" s="9"/>
      <c r="K145" s="9"/>
    </row>
    <row r="146" spans="3:11" x14ac:dyDescent="0.2">
      <c r="C146" s="9"/>
      <c r="E146" s="9"/>
      <c r="F146" s="9"/>
      <c r="G146" s="9"/>
      <c r="H146" s="9"/>
      <c r="I146" s="9"/>
      <c r="J146" s="9"/>
      <c r="K146" s="9"/>
    </row>
    <row r="147" spans="3:11" x14ac:dyDescent="0.2">
      <c r="C147" s="9"/>
      <c r="E147" s="9"/>
      <c r="F147" s="9"/>
      <c r="G147" s="9"/>
      <c r="H147" s="9"/>
      <c r="I147" s="9"/>
      <c r="J147" s="9"/>
      <c r="K147" s="9"/>
    </row>
    <row r="148" spans="3:11" x14ac:dyDescent="0.2">
      <c r="C148" s="9"/>
      <c r="E148" s="9"/>
      <c r="F148" s="9"/>
      <c r="G148" s="9"/>
      <c r="H148" s="9"/>
      <c r="I148" s="9"/>
      <c r="J148" s="9"/>
      <c r="K148" s="9"/>
    </row>
    <row r="149" spans="3:11" x14ac:dyDescent="0.2">
      <c r="H149" s="9"/>
      <c r="I149" s="9"/>
      <c r="J149" s="9"/>
      <c r="K149" s="9"/>
    </row>
    <row r="150" spans="3:11" x14ac:dyDescent="0.2">
      <c r="H150" s="9"/>
      <c r="I150" s="9"/>
      <c r="J150" s="9"/>
      <c r="K150" s="9"/>
    </row>
    <row r="151" spans="3:11" x14ac:dyDescent="0.2">
      <c r="H151" s="9"/>
      <c r="I151" s="9"/>
      <c r="J151" s="9"/>
      <c r="K151" s="9"/>
    </row>
    <row r="152" spans="3:11" x14ac:dyDescent="0.2">
      <c r="H152" s="9"/>
      <c r="I152" s="9"/>
      <c r="J152" s="9"/>
      <c r="K152" s="9"/>
    </row>
    <row r="153" spans="3:11" x14ac:dyDescent="0.2">
      <c r="H153" s="9"/>
      <c r="I153" s="9"/>
      <c r="J153" s="9"/>
      <c r="K153" s="9"/>
    </row>
    <row r="154" spans="3:11" x14ac:dyDescent="0.2">
      <c r="H154" s="9"/>
      <c r="I154" s="9"/>
      <c r="J154" s="9"/>
      <c r="K154" s="9"/>
    </row>
    <row r="155" spans="3:11" x14ac:dyDescent="0.2">
      <c r="H155" s="9"/>
      <c r="I155" s="9"/>
      <c r="J155" s="9"/>
      <c r="K155" s="9"/>
    </row>
    <row r="156" spans="3:11" x14ac:dyDescent="0.2">
      <c r="H156" s="9"/>
      <c r="I156" s="9"/>
      <c r="J156" s="9"/>
      <c r="K156" s="9"/>
    </row>
    <row r="157" spans="3:11" x14ac:dyDescent="0.2">
      <c r="H157" s="9"/>
      <c r="I157" s="9"/>
      <c r="J157" s="9"/>
      <c r="K157" s="9"/>
    </row>
    <row r="158" spans="3:11" x14ac:dyDescent="0.2">
      <c r="H158" s="9"/>
      <c r="I158" s="9"/>
      <c r="J158" s="9"/>
      <c r="K158" s="9"/>
    </row>
  </sheetData>
  <pageMargins left="0.75" right="0.75" top="1" bottom="1" header="0.5" footer="0.5"/>
  <pageSetup paperSize="5" scale="47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7"/>
  <sheetViews>
    <sheetView zoomScale="75" workbookViewId="0">
      <selection activeCell="H19" sqref="H19"/>
    </sheetView>
  </sheetViews>
  <sheetFormatPr defaultRowHeight="12.75" x14ac:dyDescent="0.2"/>
  <cols>
    <col min="1" max="1" width="26.140625" customWidth="1"/>
    <col min="2" max="2" width="5.42578125" customWidth="1"/>
    <col min="3" max="3" width="5.7109375" customWidth="1"/>
    <col min="4" max="4" width="14.85546875" bestFit="1" customWidth="1"/>
    <col min="9" max="9" width="14.85546875" bestFit="1" customWidth="1"/>
  </cols>
  <sheetData>
    <row r="1" spans="1:10" x14ac:dyDescent="0.2">
      <c r="H1" t="s">
        <v>30</v>
      </c>
    </row>
    <row r="3" spans="1:10" x14ac:dyDescent="0.2">
      <c r="I3" t="s">
        <v>136</v>
      </c>
    </row>
    <row r="4" spans="1:10" x14ac:dyDescent="0.2">
      <c r="H4" t="s">
        <v>73</v>
      </c>
      <c r="I4">
        <v>5</v>
      </c>
    </row>
    <row r="5" spans="1:10" x14ac:dyDescent="0.2">
      <c r="H5" t="s">
        <v>58</v>
      </c>
    </row>
    <row r="6" spans="1:10" x14ac:dyDescent="0.2">
      <c r="A6" t="s">
        <v>31</v>
      </c>
      <c r="D6" s="1">
        <v>13500000</v>
      </c>
      <c r="H6" t="s">
        <v>30</v>
      </c>
      <c r="I6" s="10">
        <f>IF(H6=$H$1,D6*$I$4,0)</f>
        <v>67500000</v>
      </c>
    </row>
    <row r="7" spans="1:10" x14ac:dyDescent="0.2">
      <c r="A7" t="s">
        <v>32</v>
      </c>
      <c r="D7" s="1">
        <v>310000</v>
      </c>
      <c r="H7" t="s">
        <v>30</v>
      </c>
      <c r="I7" s="10">
        <f t="shared" ref="I7:I19" si="0">IF(H7=$H$1,D7*$I$4,0)</f>
        <v>1550000</v>
      </c>
    </row>
    <row r="8" spans="1:10" x14ac:dyDescent="0.2">
      <c r="A8" t="s">
        <v>33</v>
      </c>
      <c r="D8" s="1">
        <v>450000</v>
      </c>
      <c r="H8" t="s">
        <v>30</v>
      </c>
      <c r="I8" s="10">
        <f t="shared" si="0"/>
        <v>2250000</v>
      </c>
    </row>
    <row r="9" spans="1:10" x14ac:dyDescent="0.2">
      <c r="A9" t="s">
        <v>34</v>
      </c>
      <c r="D9" s="1">
        <v>0</v>
      </c>
      <c r="F9" t="s">
        <v>62</v>
      </c>
      <c r="H9" t="s">
        <v>30</v>
      </c>
      <c r="I9" s="10">
        <f t="shared" si="0"/>
        <v>0</v>
      </c>
    </row>
    <row r="10" spans="1:10" x14ac:dyDescent="0.2">
      <c r="A10" t="s">
        <v>35</v>
      </c>
      <c r="D10" s="1">
        <v>950000</v>
      </c>
      <c r="H10" t="s">
        <v>28</v>
      </c>
      <c r="I10" s="10">
        <f t="shared" si="0"/>
        <v>0</v>
      </c>
    </row>
    <row r="11" spans="1:10" x14ac:dyDescent="0.2">
      <c r="A11" t="s">
        <v>36</v>
      </c>
      <c r="D11" s="1">
        <v>150000</v>
      </c>
      <c r="H11" t="s">
        <v>28</v>
      </c>
      <c r="I11" s="10">
        <f t="shared" si="0"/>
        <v>0</v>
      </c>
    </row>
    <row r="12" spans="1:10" x14ac:dyDescent="0.2">
      <c r="A12" t="s">
        <v>59</v>
      </c>
      <c r="D12" s="1">
        <v>57000</v>
      </c>
      <c r="H12" t="s">
        <v>30</v>
      </c>
      <c r="I12" s="10">
        <f t="shared" si="0"/>
        <v>285000</v>
      </c>
    </row>
    <row r="13" spans="1:10" x14ac:dyDescent="0.2">
      <c r="A13" t="s">
        <v>60</v>
      </c>
      <c r="D13" s="1">
        <v>23000</v>
      </c>
      <c r="H13" t="s">
        <v>30</v>
      </c>
      <c r="I13" s="10">
        <f t="shared" ref="I13:I18" si="1">IF(H13=$H$1,D13*$I$4,0)</f>
        <v>115000</v>
      </c>
    </row>
    <row r="14" spans="1:10" x14ac:dyDescent="0.2">
      <c r="A14" t="s">
        <v>74</v>
      </c>
      <c r="D14" s="1">
        <f>944000/4</f>
        <v>236000</v>
      </c>
      <c r="H14" t="s">
        <v>28</v>
      </c>
      <c r="I14" s="10">
        <f t="shared" si="1"/>
        <v>0</v>
      </c>
      <c r="J14" t="s">
        <v>75</v>
      </c>
    </row>
    <row r="15" spans="1:10" x14ac:dyDescent="0.2">
      <c r="A15" t="s">
        <v>27</v>
      </c>
      <c r="D15" s="1">
        <f>1120000/4</f>
        <v>280000</v>
      </c>
      <c r="H15" t="s">
        <v>28</v>
      </c>
      <c r="I15" s="10">
        <f t="shared" si="1"/>
        <v>0</v>
      </c>
      <c r="J15" t="s">
        <v>76</v>
      </c>
    </row>
    <row r="16" spans="1:10" x14ac:dyDescent="0.2">
      <c r="A16" t="s">
        <v>77</v>
      </c>
      <c r="D16" s="1">
        <f>988000/4</f>
        <v>247000</v>
      </c>
      <c r="H16" t="s">
        <v>28</v>
      </c>
      <c r="I16" s="10">
        <f t="shared" si="1"/>
        <v>0</v>
      </c>
      <c r="J16" t="s">
        <v>78</v>
      </c>
    </row>
    <row r="17" spans="1:10" x14ac:dyDescent="0.2">
      <c r="A17" t="s">
        <v>79</v>
      </c>
      <c r="D17" s="1">
        <f>192000/4</f>
        <v>48000</v>
      </c>
      <c r="H17" t="s">
        <v>28</v>
      </c>
      <c r="I17" s="10">
        <f t="shared" si="1"/>
        <v>0</v>
      </c>
      <c r="J17" t="s">
        <v>80</v>
      </c>
    </row>
    <row r="18" spans="1:10" x14ac:dyDescent="0.2">
      <c r="A18" t="s">
        <v>81</v>
      </c>
      <c r="D18" s="1">
        <f>74000/4</f>
        <v>18500</v>
      </c>
      <c r="H18" t="s">
        <v>28</v>
      </c>
      <c r="I18" s="10">
        <f t="shared" si="1"/>
        <v>0</v>
      </c>
    </row>
    <row r="19" spans="1:10" ht="15" x14ac:dyDescent="0.35">
      <c r="A19" t="s">
        <v>82</v>
      </c>
      <c r="D19" s="1">
        <v>150000</v>
      </c>
      <c r="H19" t="s">
        <v>28</v>
      </c>
      <c r="I19" s="14">
        <f t="shared" si="0"/>
        <v>0</v>
      </c>
    </row>
    <row r="20" spans="1:10" x14ac:dyDescent="0.2">
      <c r="D20" s="1"/>
    </row>
    <row r="21" spans="1:10" x14ac:dyDescent="0.2">
      <c r="D21" s="1">
        <f>SUM(D6:D20)</f>
        <v>16419500</v>
      </c>
      <c r="I21" s="1">
        <f>SUM(I6:I20)</f>
        <v>71700000</v>
      </c>
    </row>
    <row r="22" spans="1:10" x14ac:dyDescent="0.2">
      <c r="D22" s="1"/>
      <c r="I22" s="1">
        <f>I21/I4</f>
        <v>14340000</v>
      </c>
    </row>
    <row r="23" spans="1:10" x14ac:dyDescent="0.2">
      <c r="D23" s="1"/>
    </row>
    <row r="24" spans="1:10" x14ac:dyDescent="0.2">
      <c r="A24" s="2" t="s">
        <v>37</v>
      </c>
      <c r="D24" s="1"/>
    </row>
    <row r="25" spans="1:10" x14ac:dyDescent="0.2">
      <c r="A25" s="7" t="s">
        <v>27</v>
      </c>
      <c r="D25" s="1">
        <v>280000</v>
      </c>
    </row>
    <row r="26" spans="1:10" x14ac:dyDescent="0.2">
      <c r="A26" s="7" t="s">
        <v>56</v>
      </c>
      <c r="D26" s="1">
        <v>198000</v>
      </c>
    </row>
    <row r="27" spans="1:10" x14ac:dyDescent="0.2">
      <c r="A27" s="7" t="s">
        <v>57</v>
      </c>
      <c r="D27" s="1">
        <v>233000</v>
      </c>
    </row>
    <row r="28" spans="1:10" x14ac:dyDescent="0.2">
      <c r="A28" s="7" t="s">
        <v>35</v>
      </c>
      <c r="D28" s="1">
        <v>950000</v>
      </c>
    </row>
    <row r="29" spans="1:10" x14ac:dyDescent="0.2">
      <c r="A29" t="s">
        <v>31</v>
      </c>
      <c r="D29" s="1">
        <v>13500000</v>
      </c>
    </row>
    <row r="30" spans="1:10" x14ac:dyDescent="0.2">
      <c r="A30" t="s">
        <v>32</v>
      </c>
      <c r="D30" s="1">
        <v>310000</v>
      </c>
    </row>
    <row r="31" spans="1:10" x14ac:dyDescent="0.2">
      <c r="A31" t="s">
        <v>33</v>
      </c>
      <c r="D31" s="1">
        <v>450000</v>
      </c>
    </row>
    <row r="32" spans="1:10" x14ac:dyDescent="0.2">
      <c r="A32" t="s">
        <v>34</v>
      </c>
      <c r="D32" s="1">
        <v>62000</v>
      </c>
    </row>
    <row r="33" spans="1:4" x14ac:dyDescent="0.2">
      <c r="A33" t="s">
        <v>35</v>
      </c>
      <c r="D33" s="1">
        <v>950000</v>
      </c>
    </row>
    <row r="34" spans="1:4" x14ac:dyDescent="0.2">
      <c r="A34" t="s">
        <v>36</v>
      </c>
      <c r="D34" s="1">
        <v>150000</v>
      </c>
    </row>
    <row r="35" spans="1:4" x14ac:dyDescent="0.2">
      <c r="D35" s="1"/>
    </row>
    <row r="36" spans="1:4" x14ac:dyDescent="0.2">
      <c r="A36" t="s">
        <v>61</v>
      </c>
      <c r="D36" s="1">
        <v>206258</v>
      </c>
    </row>
    <row r="37" spans="1:4" x14ac:dyDescent="0.2">
      <c r="A37" t="s">
        <v>38</v>
      </c>
      <c r="D37" s="1">
        <v>68753</v>
      </c>
    </row>
    <row r="38" spans="1:4" x14ac:dyDescent="0.2">
      <c r="A38" t="s">
        <v>39</v>
      </c>
      <c r="D38" s="1">
        <v>34376</v>
      </c>
    </row>
    <row r="39" spans="1:4" x14ac:dyDescent="0.2">
      <c r="A39" t="s">
        <v>40</v>
      </c>
      <c r="D39" s="1">
        <v>34376</v>
      </c>
    </row>
    <row r="40" spans="1:4" x14ac:dyDescent="0.2">
      <c r="A40" t="s">
        <v>41</v>
      </c>
      <c r="D40" s="1">
        <v>41252</v>
      </c>
    </row>
    <row r="41" spans="1:4" x14ac:dyDescent="0.2">
      <c r="A41" t="s">
        <v>42</v>
      </c>
      <c r="D41" s="1">
        <v>34376</v>
      </c>
    </row>
    <row r="42" spans="1:4" x14ac:dyDescent="0.2">
      <c r="D42" s="1"/>
    </row>
    <row r="43" spans="1:4" x14ac:dyDescent="0.2">
      <c r="A43" t="s">
        <v>43</v>
      </c>
      <c r="D43" s="1">
        <v>56377</v>
      </c>
    </row>
    <row r="44" spans="1:4" x14ac:dyDescent="0.2">
      <c r="D44" s="1"/>
    </row>
    <row r="45" spans="1:4" x14ac:dyDescent="0.2">
      <c r="A45" t="s">
        <v>44</v>
      </c>
      <c r="B45">
        <v>2</v>
      </c>
      <c r="C45" s="4">
        <v>0.5</v>
      </c>
      <c r="D45" s="1">
        <v>154006</v>
      </c>
    </row>
    <row r="46" spans="1:4" x14ac:dyDescent="0.2">
      <c r="A46" t="s">
        <v>45</v>
      </c>
      <c r="D46" s="1">
        <v>137506</v>
      </c>
    </row>
    <row r="47" spans="1:4" x14ac:dyDescent="0.2">
      <c r="A47" t="s">
        <v>46</v>
      </c>
      <c r="D47" s="1">
        <v>495020</v>
      </c>
    </row>
    <row r="48" spans="1:4" x14ac:dyDescent="0.2">
      <c r="A48" t="s">
        <v>47</v>
      </c>
      <c r="D48" s="1">
        <v>61878</v>
      </c>
    </row>
    <row r="49" spans="1:4" x14ac:dyDescent="0.2">
      <c r="A49" t="s">
        <v>48</v>
      </c>
      <c r="D49" s="1">
        <v>36164</v>
      </c>
    </row>
    <row r="50" spans="1:4" x14ac:dyDescent="0.2">
      <c r="D50" s="1"/>
    </row>
    <row r="51" spans="1:4" x14ac:dyDescent="0.2">
      <c r="A51" t="s">
        <v>49</v>
      </c>
      <c r="D51" s="1">
        <v>99334</v>
      </c>
    </row>
    <row r="52" spans="1:4" x14ac:dyDescent="0.2">
      <c r="A52" t="s">
        <v>50</v>
      </c>
      <c r="D52" s="1">
        <v>199383</v>
      </c>
    </row>
    <row r="53" spans="1:4" x14ac:dyDescent="0.2">
      <c r="D53" s="1"/>
    </row>
    <row r="54" spans="1:4" x14ac:dyDescent="0.2">
      <c r="A54" t="s">
        <v>51</v>
      </c>
      <c r="D54" s="1">
        <v>44002</v>
      </c>
    </row>
    <row r="55" spans="1:4" x14ac:dyDescent="0.2">
      <c r="D55" s="1"/>
    </row>
    <row r="56" spans="1:4" x14ac:dyDescent="0.2">
      <c r="A56" t="s">
        <v>52</v>
      </c>
      <c r="D56" s="1">
        <v>90794</v>
      </c>
    </row>
    <row r="57" spans="1:4" x14ac:dyDescent="0.2">
      <c r="D57" s="1"/>
    </row>
    <row r="58" spans="1:4" x14ac:dyDescent="0.2">
      <c r="A58" t="s">
        <v>53</v>
      </c>
      <c r="D58" s="1">
        <v>165007</v>
      </c>
    </row>
    <row r="59" spans="1:4" x14ac:dyDescent="0.2">
      <c r="D59" s="1"/>
    </row>
    <row r="60" spans="1:4" x14ac:dyDescent="0.2">
      <c r="A60" t="s">
        <v>54</v>
      </c>
      <c r="D60" s="1">
        <v>226884</v>
      </c>
    </row>
    <row r="61" spans="1:4" x14ac:dyDescent="0.2">
      <c r="D61" s="1"/>
    </row>
    <row r="62" spans="1:4" x14ac:dyDescent="0.2">
      <c r="D62" s="1"/>
    </row>
    <row r="63" spans="1:4" x14ac:dyDescent="0.2">
      <c r="D63" s="1"/>
    </row>
    <row r="64" spans="1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</sheetData>
  <pageMargins left="0.75" right="0.75" top="1" bottom="1" header="0.5" footer="0.5"/>
  <pageSetup scale="8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C7" sqref="C7"/>
    </sheetView>
  </sheetViews>
  <sheetFormatPr defaultRowHeight="12.75" x14ac:dyDescent="0.2"/>
  <cols>
    <col min="1" max="1" width="17.42578125" customWidth="1"/>
    <col min="3" max="3" width="10.28515625" bestFit="1" customWidth="1"/>
  </cols>
  <sheetData>
    <row r="3" spans="1:3" x14ac:dyDescent="0.2">
      <c r="A3" t="s">
        <v>111</v>
      </c>
      <c r="B3" t="s">
        <v>112</v>
      </c>
      <c r="C3" s="17">
        <v>47500</v>
      </c>
    </row>
    <row r="4" spans="1:3" x14ac:dyDescent="0.2">
      <c r="A4" t="s">
        <v>113</v>
      </c>
      <c r="C4" s="16">
        <v>0.9</v>
      </c>
    </row>
    <row r="5" spans="1:3" x14ac:dyDescent="0.2">
      <c r="A5" t="s">
        <v>114</v>
      </c>
      <c r="B5" t="s">
        <v>115</v>
      </c>
      <c r="C5" s="17">
        <f>C3/C4</f>
        <v>52777.777777777774</v>
      </c>
    </row>
    <row r="6" spans="1:3" x14ac:dyDescent="0.2">
      <c r="A6" t="s">
        <v>116</v>
      </c>
      <c r="B6" t="s">
        <v>117</v>
      </c>
      <c r="C6" s="17">
        <v>13800</v>
      </c>
    </row>
    <row r="7" spans="1:3" x14ac:dyDescent="0.2">
      <c r="B7" t="s">
        <v>118</v>
      </c>
      <c r="C7" s="17">
        <f>C5*1000/(C6*3^0.5)</f>
        <v>2208.062623712337</v>
      </c>
    </row>
    <row r="8" spans="1:3" x14ac:dyDescent="0.2">
      <c r="C8" s="17"/>
    </row>
    <row r="9" spans="1:3" x14ac:dyDescent="0.2">
      <c r="C9" s="17"/>
    </row>
    <row r="10" spans="1:3" x14ac:dyDescent="0.2">
      <c r="C10" s="17"/>
    </row>
    <row r="11" spans="1:3" x14ac:dyDescent="0.2">
      <c r="C11" s="17"/>
    </row>
    <row r="12" spans="1:3" x14ac:dyDescent="0.2">
      <c r="C12" s="17"/>
    </row>
    <row r="13" spans="1:3" x14ac:dyDescent="0.2">
      <c r="C13" s="17"/>
    </row>
    <row r="14" spans="1:3" x14ac:dyDescent="0.2">
      <c r="C14" s="17"/>
    </row>
    <row r="15" spans="1:3" x14ac:dyDescent="0.2">
      <c r="C15" s="1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UAE</vt:lpstr>
      <vt:lpstr>CTGprice</vt:lpstr>
      <vt:lpstr>calcs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2000-05-04T00:34:38Z</cp:lastPrinted>
  <dcterms:created xsi:type="dcterms:W3CDTF">2000-02-15T01:20:36Z</dcterms:created>
  <dcterms:modified xsi:type="dcterms:W3CDTF">2023-09-13T21:58:45Z</dcterms:modified>
</cp:coreProperties>
</file>