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4C7971-9F41-4D96-8BC8-4F206FFEFAB0}" xr6:coauthVersionLast="47" xr6:coauthVersionMax="47" xr10:uidLastSave="{00000000-0000-0000-0000-000000000000}"/>
  <bookViews>
    <workbookView xWindow="-120" yWindow="-120" windowWidth="38640" windowHeight="15720" tabRatio="892" firstSheet="3" activeTab="6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CSHFLO" sheetId="12" r:id="rId9"/>
    <sheet name="144A FCF" sheetId="30" r:id="rId10"/>
    <sheet name="ENA-144A Comparison" sheetId="25" r:id="rId11"/>
    <sheet name="Fees" sheetId="33" r:id="rId12"/>
    <sheet name="ENA Assumptions" sheetId="24" r:id="rId13"/>
    <sheet name="IS-ENA" sheetId="26" r:id="rId14"/>
    <sheet name="ENE FCF" sheetId="29" r:id="rId15"/>
    <sheet name="Collateral Value" sheetId="31" r:id="rId16"/>
    <sheet name="CSHFLO-ENA" sheetId="27" r:id="rId17"/>
    <sheet name="CSHFLO w ePUP" sheetId="32" r:id="rId18"/>
    <sheet name="TAXES-ENA" sheetId="28" r:id="rId19"/>
    <sheet name="ENA Debt" sheetId="21" r:id="rId20"/>
    <sheet name="ENA IDC" sheetId="22" r:id="rId21"/>
    <sheet name="144A DEBT" sheetId="15" r:id="rId22"/>
    <sheet name="144A Draw" sheetId="16" r:id="rId23"/>
    <sheet name="144A IDC" sheetId="17" r:id="rId24"/>
    <sheet name="BKDEPR 144A" sheetId="18" r:id="rId25"/>
    <sheet name="TAXDEPR 144A" sheetId="19" r:id="rId26"/>
    <sheet name="TAXES" sheetId="20" r:id="rId27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7">'CSHFLO w ePUP'!$C$9:$V$62</definedName>
    <definedName name="CASHFLOW" localSheetId="16">'CSHFLO-ENA'!$C$9:$V$58</definedName>
    <definedName name="CASHFLOW">CSHFLO!$C$9:$V$58</definedName>
    <definedName name="CFLOW" localSheetId="17">'CSHFLO w ePUP'!$A$1:$Q$62</definedName>
    <definedName name="CFLOW" localSheetId="16">'CSHFLO-ENA'!$A$1:$Q$58</definedName>
    <definedName name="CFLOW">CSHFLO!$A$1:$Q$58</definedName>
    <definedName name="_6CO_IS" localSheetId="13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3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OandM!$C$9:$V$40</definedName>
    <definedName name="OM">OandM!$A$1:$Q$35</definedName>
    <definedName name="PIRR">#REF!</definedName>
    <definedName name="PNPV">#REF!</definedName>
    <definedName name="_xlnm.Print_Area" localSheetId="21">'144A DEBT'!$A$8:$S$53</definedName>
    <definedName name="_xlnm.Print_Area" localSheetId="22">'144A Draw'!$A$1:$R$62</definedName>
    <definedName name="_xlnm.Print_Area" localSheetId="23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4">'BKDEPR 144A'!$A$1:$Y$70</definedName>
    <definedName name="_xlnm.Print_Area" localSheetId="7">'Co IS'!$A$1:$V$40</definedName>
    <definedName name="_xlnm.Print_Area" localSheetId="15">'Collateral Value'!$A$1:$X$29</definedName>
    <definedName name="_xlnm.Print_Area" localSheetId="8">CSHFLO!$A$1:$W$62</definedName>
    <definedName name="_xlnm.Print_Area" localSheetId="17">'CSHFLO w ePUP'!$A$1:$W$67</definedName>
    <definedName name="_xlnm.Print_Area" localSheetId="16">'CSHFLO-ENA'!$A$1:$W$63</definedName>
    <definedName name="_xlnm.Print_Area" localSheetId="19">'ENA Debt'!$A$1:$W$53</definedName>
    <definedName name="_xlnm.Print_Area" localSheetId="20">'ENA IDC'!$A$1:$T$133</definedName>
    <definedName name="_xlnm.Print_Area" localSheetId="10">'ENA-144A Comparison'!$A$1:$D$10</definedName>
    <definedName name="_xlnm.Print_Area" localSheetId="11">Fees!$H$27:$S$53</definedName>
    <definedName name="_xlnm.Print_Area" localSheetId="5">FUEL!$A$1:$V$93</definedName>
    <definedName name="_xlnm.Print_Area" localSheetId="13">'IS-ENA'!$A$1:$V$40</definedName>
    <definedName name="_xlnm.Print_Area" localSheetId="6">OandM!$A$1:$V$37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5">'TAXDEPR 144A'!$A$1:$Y$70</definedName>
    <definedName name="_xlnm.Print_Area" localSheetId="26">TAXES!$A$1:$V$35</definedName>
    <definedName name="_xlnm.Print_Area" localSheetId="18">'TAXES-ENA'!$A$1:$W$35</definedName>
    <definedName name="_xlnm.Print_Titles" localSheetId="21">'144A DEBT'!$A:$B,'144A DEBT'!$1:$7</definedName>
    <definedName name="_xlnm.Print_Titles" localSheetId="9">'144A FCF'!$A:$C</definedName>
    <definedName name="_xlnm.Print_Titles" localSheetId="7">'Co IS'!$A:$B,'Co IS'!$1:$8</definedName>
    <definedName name="_xlnm.Print_Titles" localSheetId="8">CSHFLO!$A:$B,CSHFLO!$1:$8</definedName>
    <definedName name="_xlnm.Print_Titles" localSheetId="17">'CSHFLO w ePUP'!$A:$B,'CSHFLO w ePUP'!$1:$8</definedName>
    <definedName name="_xlnm.Print_Titles" localSheetId="16">'CSHFLO-ENA'!$A:$B,'CSHFLO-ENA'!$1:$8</definedName>
    <definedName name="_xlnm.Print_Titles" localSheetId="14">'ENE FCF'!$A:$C</definedName>
    <definedName name="_xlnm.Print_Titles" localSheetId="5">FUEL!$A:$B,FUEL!$1:$9</definedName>
    <definedName name="_xlnm.Print_Titles" localSheetId="13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6">TAXES!$A:$B,TAXES!$1:$8</definedName>
    <definedName name="_xlnm.Print_Titles" localSheetId="18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8">'TAXES-ENA'!$A$1:$Q$34</definedName>
    <definedName name="TAX">TAXES!$A$1:$Q$34</definedName>
    <definedName name="TAXES" localSheetId="18">'TAXES-ENA'!$C$9:$V$34</definedName>
    <definedName name="TAXES">TAXES!$C$9:$V$34</definedName>
    <definedName name="_XX1">'ASSUM 1'!$N$45:$N$45</definedName>
  </definedNames>
  <calcPr calcId="0" calcMode="manual" fullCalcOnLoad="1" iterate="1"/>
</workbook>
</file>

<file path=xl/calcChain.xml><?xml version="1.0" encoding="utf-8"?>
<calcChain xmlns="http://schemas.openxmlformats.org/spreadsheetml/2006/main">
  <c r="C5" i="15" l="1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B11" i="15"/>
  <c r="B12" i="15"/>
  <c r="B13" i="15"/>
  <c r="B14" i="15"/>
  <c r="B15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B53" i="15"/>
  <c r="A3" i="16"/>
  <c r="B3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A8" i="16"/>
  <c r="A9" i="16"/>
  <c r="B9" i="16"/>
  <c r="L9" i="16"/>
  <c r="N9" i="16"/>
  <c r="Z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Z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Z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Z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Z13" i="16"/>
  <c r="A14" i="16"/>
  <c r="B14" i="16"/>
  <c r="A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Z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Z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Z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Z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Z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Z22" i="16"/>
  <c r="A23" i="16"/>
  <c r="B23" i="16"/>
  <c r="A25" i="16"/>
  <c r="A26" i="16"/>
  <c r="B26" i="16"/>
  <c r="Z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Z27" i="16"/>
  <c r="A28" i="16"/>
  <c r="B28" i="16"/>
  <c r="Z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Z29" i="16"/>
  <c r="A30" i="16"/>
  <c r="B30" i="16"/>
  <c r="A32" i="16"/>
  <c r="A33" i="16"/>
  <c r="B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Z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Z34" i="16"/>
  <c r="A35" i="16"/>
  <c r="B35" i="16"/>
  <c r="Z35" i="16"/>
  <c r="A36" i="16"/>
  <c r="B36" i="16"/>
  <c r="Z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Z37" i="16"/>
  <c r="A38" i="16"/>
  <c r="B38" i="16"/>
  <c r="Z38" i="16"/>
  <c r="A39" i="16"/>
  <c r="B39" i="16"/>
  <c r="Z39" i="16"/>
  <c r="A40" i="16"/>
  <c r="B40" i="16"/>
  <c r="Z40" i="16"/>
  <c r="A41" i="16"/>
  <c r="B41" i="16"/>
  <c r="Z41" i="16"/>
  <c r="A42" i="16"/>
  <c r="B42" i="16"/>
  <c r="Z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Z43" i="16"/>
  <c r="A44" i="16"/>
  <c r="B44" i="16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Z44" i="16"/>
  <c r="A45" i="16"/>
  <c r="B45" i="16"/>
  <c r="Z45" i="16"/>
  <c r="A46" i="16"/>
  <c r="B46" i="16"/>
  <c r="Z46" i="16"/>
  <c r="A47" i="16"/>
  <c r="B47" i="16"/>
  <c r="Z47" i="16"/>
  <c r="A48" i="16"/>
  <c r="B48" i="16"/>
  <c r="Z48" i="16"/>
  <c r="A49" i="16"/>
  <c r="B49" i="16"/>
  <c r="Z49" i="16"/>
  <c r="A50" i="16"/>
  <c r="B50" i="16"/>
  <c r="Z50" i="16"/>
  <c r="A51" i="16"/>
  <c r="B51" i="16"/>
  <c r="Z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Z52" i="16"/>
  <c r="A53" i="16"/>
  <c r="B53" i="16"/>
  <c r="A55" i="16"/>
  <c r="A56" i="16"/>
  <c r="B56" i="16"/>
  <c r="Z56" i="16"/>
  <c r="A57" i="16"/>
  <c r="B57" i="16"/>
  <c r="O57" i="16"/>
  <c r="P57" i="16"/>
  <c r="Q57" i="16"/>
  <c r="R57" i="16"/>
  <c r="Z57" i="16"/>
  <c r="A58" i="16"/>
  <c r="B58" i="16"/>
  <c r="O58" i="16"/>
  <c r="P58" i="16"/>
  <c r="Q58" i="16"/>
  <c r="R58" i="16"/>
  <c r="Z58" i="16"/>
  <c r="A59" i="16"/>
  <c r="B59" i="16"/>
  <c r="O59" i="16"/>
  <c r="P59" i="16"/>
  <c r="Q59" i="16"/>
  <c r="R59" i="16"/>
  <c r="Z59" i="16"/>
  <c r="A60" i="16"/>
  <c r="B60" i="16"/>
  <c r="B62" i="16"/>
  <c r="D1" i="30"/>
  <c r="E1" i="30"/>
  <c r="F1" i="30"/>
  <c r="G1" i="30"/>
  <c r="H1" i="30"/>
  <c r="I1" i="30"/>
  <c r="J1" i="30"/>
  <c r="K1" i="30"/>
  <c r="L1" i="30"/>
  <c r="M1" i="30"/>
  <c r="N1" i="30"/>
  <c r="O1" i="30"/>
  <c r="P1" i="30"/>
  <c r="Q1" i="30"/>
  <c r="R1" i="30"/>
  <c r="S1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R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B7" i="30"/>
  <c r="C7" i="30"/>
  <c r="B8" i="30"/>
  <c r="A1" i="17"/>
  <c r="C5" i="17"/>
  <c r="A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A11" i="17"/>
  <c r="A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AA12" i="17"/>
  <c r="A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AA13" i="17"/>
  <c r="A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AA14" i="17"/>
  <c r="A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AA15" i="17"/>
  <c r="A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AA16" i="17"/>
  <c r="A17" i="17"/>
  <c r="C17" i="17"/>
  <c r="A19" i="17"/>
  <c r="A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AA20" i="17"/>
  <c r="A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AA21" i="17"/>
  <c r="A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AA22" i="17"/>
  <c r="A23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AA23" i="17"/>
  <c r="A24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AA24" i="17"/>
  <c r="A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AA25" i="17"/>
  <c r="A26" i="17"/>
  <c r="C26" i="17"/>
  <c r="A28" i="17"/>
  <c r="A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AA29" i="17"/>
  <c r="A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AA30" i="17"/>
  <c r="A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AA31" i="17"/>
  <c r="A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AA32" i="17"/>
  <c r="A33" i="17"/>
  <c r="C33" i="17"/>
  <c r="A35" i="17"/>
  <c r="A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AA36" i="17"/>
  <c r="A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AA37" i="17"/>
  <c r="A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AA38" i="17"/>
  <c r="A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AA39" i="17"/>
  <c r="A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AA40" i="17"/>
  <c r="A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AA41" i="17"/>
  <c r="A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AA42" i="17"/>
  <c r="A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AA43" i="17"/>
  <c r="A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AA44" i="17"/>
  <c r="A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AA45" i="17"/>
  <c r="A46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AA46" i="17"/>
  <c r="A47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AA47" i="17"/>
  <c r="A48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AA48" i="17"/>
  <c r="A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AA49" i="17"/>
  <c r="A50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AA50" i="17"/>
  <c r="A51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AA51" i="17"/>
  <c r="A52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A53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AA53" i="17"/>
  <c r="A54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AA54" i="17"/>
  <c r="A55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AA55" i="17"/>
  <c r="A56" i="17"/>
  <c r="C56" i="17"/>
  <c r="A58" i="17"/>
  <c r="A59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AA59" i="17"/>
  <c r="A60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AA60" i="17"/>
  <c r="A61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AA61" i="17"/>
  <c r="A62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AA62" i="17"/>
  <c r="A63" i="17"/>
  <c r="C63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E77" i="17"/>
  <c r="F77" i="17"/>
  <c r="G77" i="17"/>
  <c r="H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D91" i="17"/>
  <c r="D92" i="17"/>
  <c r="D93" i="17"/>
  <c r="D94" i="17"/>
  <c r="D95" i="17"/>
  <c r="D96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T99" i="17"/>
  <c r="U99" i="17"/>
  <c r="V99" i="17"/>
  <c r="W99" i="17"/>
  <c r="X99" i="17"/>
  <c r="Y99" i="17"/>
  <c r="A100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T101" i="17"/>
  <c r="U101" i="17"/>
  <c r="V101" i="17"/>
  <c r="W101" i="17"/>
  <c r="X101" i="17"/>
  <c r="Y101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T102" i="17"/>
  <c r="U102" i="17"/>
  <c r="V102" i="17"/>
  <c r="W102" i="17"/>
  <c r="X102" i="17"/>
  <c r="Y102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C107" i="17"/>
  <c r="D107" i="17"/>
  <c r="E107" i="17"/>
  <c r="F107" i="17"/>
  <c r="G107" i="17"/>
  <c r="H107" i="17"/>
  <c r="I107" i="17"/>
  <c r="J107" i="17"/>
  <c r="K107" i="17"/>
  <c r="L107" i="17"/>
  <c r="M107" i="17"/>
  <c r="N107" i="17"/>
  <c r="O107" i="17"/>
  <c r="P107" i="17"/>
  <c r="Q107" i="17"/>
  <c r="R107" i="17"/>
  <c r="S107" i="17"/>
  <c r="T107" i="17"/>
  <c r="U107" i="17"/>
  <c r="V107" i="17"/>
  <c r="W107" i="17"/>
  <c r="X107" i="17"/>
  <c r="Y107" i="17"/>
  <c r="C109" i="17"/>
  <c r="D109" i="17"/>
  <c r="D111" i="17"/>
  <c r="E111" i="17"/>
  <c r="F111" i="17"/>
  <c r="G111" i="17"/>
  <c r="H111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D112" i="17"/>
  <c r="E112" i="17"/>
  <c r="F112" i="17"/>
  <c r="G112" i="17"/>
  <c r="H112" i="17"/>
  <c r="I112" i="17"/>
  <c r="J112" i="17"/>
  <c r="K112" i="17"/>
  <c r="L112" i="17"/>
  <c r="M112" i="17"/>
  <c r="N112" i="17"/>
  <c r="O112" i="17"/>
  <c r="P112" i="17"/>
  <c r="Q112" i="17"/>
  <c r="R112" i="17"/>
  <c r="S112" i="17"/>
  <c r="T112" i="17"/>
  <c r="U112" i="17"/>
  <c r="V112" i="17"/>
  <c r="W112" i="17"/>
  <c r="X112" i="17"/>
  <c r="Y112" i="17"/>
  <c r="D113" i="17"/>
  <c r="E113" i="17"/>
  <c r="F113" i="17"/>
  <c r="G113" i="17"/>
  <c r="H113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D116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B124" i="17"/>
  <c r="C124" i="17"/>
  <c r="D124" i="17"/>
  <c r="E124" i="17"/>
  <c r="F124" i="17"/>
  <c r="G124" i="17"/>
  <c r="H124" i="17"/>
  <c r="I124" i="17"/>
  <c r="J124" i="17"/>
  <c r="K124" i="17"/>
  <c r="L124" i="17"/>
  <c r="M124" i="17"/>
  <c r="N124" i="17"/>
  <c r="O124" i="17"/>
  <c r="P124" i="17"/>
  <c r="Q124" i="17"/>
  <c r="R124" i="17"/>
  <c r="S124" i="17"/>
  <c r="T124" i="17"/>
  <c r="U124" i="17"/>
  <c r="V124" i="17"/>
  <c r="W124" i="17"/>
  <c r="X124" i="17"/>
  <c r="Y124" i="17"/>
  <c r="B125" i="17"/>
  <c r="C125" i="17"/>
  <c r="D125" i="17"/>
  <c r="E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R125" i="17"/>
  <c r="S125" i="17"/>
  <c r="T125" i="17"/>
  <c r="U125" i="17"/>
  <c r="V125" i="17"/>
  <c r="W125" i="17"/>
  <c r="X125" i="17"/>
  <c r="Y125" i="17"/>
  <c r="B126" i="17"/>
  <c r="C126" i="17"/>
  <c r="D126" i="17"/>
  <c r="E126" i="17"/>
  <c r="F126" i="17"/>
  <c r="G126" i="17"/>
  <c r="H126" i="17"/>
  <c r="I126" i="17"/>
  <c r="J126" i="17"/>
  <c r="K126" i="17"/>
  <c r="L126" i="17"/>
  <c r="M126" i="17"/>
  <c r="N126" i="17"/>
  <c r="O126" i="17"/>
  <c r="P126" i="17"/>
  <c r="Q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B130" i="17"/>
  <c r="C130" i="17"/>
  <c r="D130" i="17"/>
  <c r="E130" i="17"/>
  <c r="F130" i="17"/>
  <c r="G130" i="17"/>
  <c r="H130" i="17"/>
  <c r="I130" i="17"/>
  <c r="J130" i="17"/>
  <c r="K130" i="17"/>
  <c r="L130" i="17"/>
  <c r="M130" i="17"/>
  <c r="N130" i="17"/>
  <c r="O130" i="17"/>
  <c r="P130" i="17"/>
  <c r="Q130" i="17"/>
  <c r="R130" i="17"/>
  <c r="S130" i="17"/>
  <c r="T130" i="17"/>
  <c r="U130" i="17"/>
  <c r="B131" i="17"/>
  <c r="C131" i="17"/>
  <c r="D131" i="17"/>
  <c r="E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R131" i="17"/>
  <c r="S131" i="17"/>
  <c r="T131" i="17"/>
  <c r="U131" i="17"/>
  <c r="B132" i="17"/>
  <c r="C132" i="17"/>
  <c r="D132" i="17"/>
  <c r="E132" i="17"/>
  <c r="F132" i="17"/>
  <c r="G132" i="17"/>
  <c r="H132" i="17"/>
  <c r="I132" i="17"/>
  <c r="J132" i="17"/>
  <c r="K132" i="17"/>
  <c r="L132" i="17"/>
  <c r="M132" i="17"/>
  <c r="N132" i="17"/>
  <c r="O132" i="17"/>
  <c r="P132" i="17"/>
  <c r="Q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V133" i="17"/>
  <c r="W133" i="17"/>
  <c r="X133" i="17"/>
  <c r="Y133" i="17"/>
  <c r="GU1" i="2"/>
  <c r="B7" i="2"/>
  <c r="D7" i="2"/>
  <c r="K7" i="2"/>
  <c r="S7" i="2"/>
  <c r="C8" i="2"/>
  <c r="D8" i="2"/>
  <c r="K8" i="2"/>
  <c r="K9" i="2"/>
  <c r="H10" i="2"/>
  <c r="K10" i="2"/>
  <c r="D11" i="2"/>
  <c r="H11" i="2"/>
  <c r="I11" i="2"/>
  <c r="K11" i="2"/>
  <c r="D12" i="2"/>
  <c r="H12" i="2"/>
  <c r="I12" i="2"/>
  <c r="K12" i="2"/>
  <c r="H13" i="2"/>
  <c r="I13" i="2"/>
  <c r="K13" i="2"/>
  <c r="D14" i="2"/>
  <c r="H14" i="2"/>
  <c r="I14" i="2"/>
  <c r="K14" i="2"/>
  <c r="H15" i="2"/>
  <c r="I15" i="2"/>
  <c r="K15" i="2"/>
  <c r="K16" i="2"/>
  <c r="K17" i="2"/>
  <c r="K18" i="2"/>
  <c r="B19" i="2"/>
  <c r="C19" i="2"/>
  <c r="D19" i="2"/>
  <c r="I19" i="2"/>
  <c r="K19" i="2"/>
  <c r="S19" i="2"/>
  <c r="I20" i="2"/>
  <c r="K20" i="2"/>
  <c r="H21" i="2"/>
  <c r="I21" i="2"/>
  <c r="K21" i="2"/>
  <c r="K22" i="2"/>
  <c r="N22" i="2"/>
  <c r="B23" i="2"/>
  <c r="C23" i="2"/>
  <c r="D23" i="2"/>
  <c r="K23" i="2"/>
  <c r="B24" i="2"/>
  <c r="H24" i="2"/>
  <c r="H25" i="2"/>
  <c r="M25" i="2"/>
  <c r="N25" i="2"/>
  <c r="S26" i="2"/>
  <c r="B27" i="2"/>
  <c r="C27" i="2"/>
  <c r="D27" i="2"/>
  <c r="S27" i="2"/>
  <c r="D29" i="2"/>
  <c r="N29" i="2"/>
  <c r="Q29" i="2"/>
  <c r="R29" i="2"/>
  <c r="S29" i="2"/>
  <c r="N30" i="2"/>
  <c r="S30" i="2"/>
  <c r="I31" i="2"/>
  <c r="N31" i="2"/>
  <c r="I32" i="2"/>
  <c r="I33" i="2"/>
  <c r="D34" i="2"/>
  <c r="I34" i="2"/>
  <c r="I35" i="2"/>
  <c r="H36" i="2"/>
  <c r="I38" i="2"/>
  <c r="N39" i="2"/>
  <c r="S39" i="2"/>
  <c r="I40" i="2"/>
  <c r="S40" i="2"/>
  <c r="I41" i="2"/>
  <c r="S41" i="2"/>
  <c r="B42" i="2"/>
  <c r="C42" i="2"/>
  <c r="I42" i="2"/>
  <c r="S42" i="2"/>
  <c r="B43" i="2"/>
  <c r="C43" i="2"/>
  <c r="I43" i="2"/>
  <c r="L43" i="2"/>
  <c r="I44" i="2"/>
  <c r="L44" i="2"/>
  <c r="I45" i="2"/>
  <c r="I46" i="2"/>
  <c r="R46" i="2"/>
  <c r="I47" i="2"/>
  <c r="I48" i="2"/>
  <c r="I49" i="2"/>
  <c r="I50" i="2"/>
  <c r="L9" i="3"/>
  <c r="N9" i="3"/>
  <c r="Q9" i="3"/>
  <c r="L10" i="3"/>
  <c r="N10" i="3"/>
  <c r="Q10" i="3"/>
  <c r="T10" i="3"/>
  <c r="L11" i="3"/>
  <c r="N11" i="3"/>
  <c r="Q11" i="3"/>
  <c r="L12" i="3"/>
  <c r="N12" i="3"/>
  <c r="Q12" i="3"/>
  <c r="L13" i="3"/>
  <c r="N13" i="3"/>
  <c r="Q13" i="3"/>
  <c r="E14" i="3"/>
  <c r="L14" i="3"/>
  <c r="T14" i="3"/>
  <c r="L16" i="3"/>
  <c r="L17" i="3"/>
  <c r="N17" i="3"/>
  <c r="Q17" i="3"/>
  <c r="L18" i="3"/>
  <c r="N18" i="3"/>
  <c r="Q18" i="3"/>
  <c r="L19" i="3"/>
  <c r="N19" i="3"/>
  <c r="Q19" i="3"/>
  <c r="L20" i="3"/>
  <c r="N20" i="3"/>
  <c r="Q20" i="3"/>
  <c r="L21" i="3"/>
  <c r="N21" i="3"/>
  <c r="Q21" i="3"/>
  <c r="L22" i="3"/>
  <c r="N22" i="3"/>
  <c r="Q22" i="3"/>
  <c r="E23" i="3"/>
  <c r="L23" i="3"/>
  <c r="L25" i="3"/>
  <c r="L26" i="3"/>
  <c r="L27" i="3"/>
  <c r="N27" i="3"/>
  <c r="Q27" i="3"/>
  <c r="L28" i="3"/>
  <c r="N28" i="3"/>
  <c r="Q28" i="3"/>
  <c r="L29" i="3"/>
  <c r="N29" i="3"/>
  <c r="Q29" i="3"/>
  <c r="E30" i="3"/>
  <c r="L30" i="3"/>
  <c r="L32" i="3"/>
  <c r="L33" i="3"/>
  <c r="N33" i="3"/>
  <c r="Q33" i="3"/>
  <c r="E34" i="3"/>
  <c r="L34" i="3"/>
  <c r="N34" i="3"/>
  <c r="Q34" i="3"/>
  <c r="L35" i="3"/>
  <c r="N35" i="3"/>
  <c r="Q35" i="3"/>
  <c r="L36" i="3"/>
  <c r="N36" i="3"/>
  <c r="Q36" i="3"/>
  <c r="L37" i="3"/>
  <c r="N37" i="3"/>
  <c r="Q37" i="3"/>
  <c r="E38" i="3"/>
  <c r="L38" i="3"/>
  <c r="N38" i="3"/>
  <c r="Q38" i="3"/>
  <c r="E39" i="3"/>
  <c r="L39" i="3"/>
  <c r="N39" i="3"/>
  <c r="Q39" i="3"/>
  <c r="L40" i="3"/>
  <c r="N40" i="3"/>
  <c r="Q40" i="3"/>
  <c r="L41" i="3"/>
  <c r="N41" i="3"/>
  <c r="Q41" i="3"/>
  <c r="L42" i="3"/>
  <c r="N42" i="3"/>
  <c r="Q42" i="3"/>
  <c r="L43" i="3"/>
  <c r="N43" i="3"/>
  <c r="Q43" i="3"/>
  <c r="L44" i="3"/>
  <c r="N44" i="3"/>
  <c r="Q44" i="3"/>
  <c r="L45" i="3"/>
  <c r="N45" i="3"/>
  <c r="Q45" i="3"/>
  <c r="L46" i="3"/>
  <c r="N46" i="3"/>
  <c r="Q46" i="3"/>
  <c r="L47" i="3"/>
  <c r="L48" i="3"/>
  <c r="E49" i="3"/>
  <c r="L49" i="3"/>
  <c r="L50" i="3"/>
  <c r="N50" i="3"/>
  <c r="Q50" i="3"/>
  <c r="L51" i="3"/>
  <c r="N51" i="3"/>
  <c r="Q51" i="3"/>
  <c r="L52" i="3"/>
  <c r="N52" i="3"/>
  <c r="Q52" i="3"/>
  <c r="E53" i="3"/>
  <c r="L53" i="3"/>
  <c r="L55" i="3"/>
  <c r="A56" i="3"/>
  <c r="L56" i="3"/>
  <c r="N56" i="3"/>
  <c r="Q56" i="3"/>
  <c r="A57" i="3"/>
  <c r="D57" i="3"/>
  <c r="L57" i="3"/>
  <c r="N57" i="3"/>
  <c r="Q57" i="3"/>
  <c r="A58" i="3"/>
  <c r="D58" i="3"/>
  <c r="L58" i="3"/>
  <c r="N58" i="3"/>
  <c r="Q58" i="3"/>
  <c r="A59" i="3"/>
  <c r="L59" i="3"/>
  <c r="N59" i="3"/>
  <c r="Q59" i="3"/>
  <c r="E60" i="3"/>
  <c r="L60" i="3"/>
  <c r="E62" i="3"/>
  <c r="L62" i="3"/>
  <c r="N62" i="3"/>
  <c r="Q62" i="3"/>
  <c r="E64" i="3"/>
  <c r="A1" i="18"/>
  <c r="A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A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A34" i="18"/>
  <c r="A35" i="18"/>
  <c r="A36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A66" i="18"/>
  <c r="A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A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A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X17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X19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X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T32" i="31"/>
  <c r="U32" i="31"/>
  <c r="V32" i="31"/>
  <c r="W32" i="31"/>
  <c r="X32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X34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P38" i="31"/>
  <c r="Q38" i="31"/>
  <c r="R38" i="31"/>
  <c r="S38" i="31"/>
  <c r="T38" i="31"/>
  <c r="U38" i="31"/>
  <c r="V38" i="31"/>
  <c r="W38" i="31"/>
  <c r="X38" i="31"/>
  <c r="E40" i="31"/>
  <c r="F40" i="31"/>
  <c r="G40" i="31"/>
  <c r="H40" i="31"/>
  <c r="I40" i="31"/>
  <c r="J40" i="31"/>
  <c r="K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X40" i="31"/>
  <c r="I44" i="31"/>
  <c r="K44" i="31"/>
  <c r="M44" i="31"/>
  <c r="O44" i="31"/>
  <c r="Q44" i="31"/>
  <c r="S44" i="31"/>
  <c r="U44" i="31"/>
  <c r="E45" i="31"/>
  <c r="F45" i="31"/>
  <c r="G45" i="31"/>
  <c r="H45" i="31"/>
  <c r="I45" i="31"/>
  <c r="J45" i="31"/>
  <c r="K45" i="31"/>
  <c r="L45" i="31"/>
  <c r="M45" i="31"/>
  <c r="N45" i="31"/>
  <c r="O45" i="31"/>
  <c r="R45" i="31"/>
  <c r="S45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A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A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A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A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A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A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32"/>
  <c r="A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A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A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A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A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A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A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A21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C22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A24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A36" i="32"/>
  <c r="C36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A38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P44" i="32"/>
  <c r="Q44" i="32"/>
  <c r="R44" i="32"/>
  <c r="S44" i="32"/>
  <c r="T44" i="32"/>
  <c r="U44" i="32"/>
  <c r="V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P48" i="32"/>
  <c r="Q48" i="32"/>
  <c r="R48" i="32"/>
  <c r="S48" i="32"/>
  <c r="T48" i="32"/>
  <c r="U48" i="32"/>
  <c r="V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P50" i="32"/>
  <c r="Q50" i="32"/>
  <c r="R50" i="32"/>
  <c r="S50" i="32"/>
  <c r="T50" i="32"/>
  <c r="U50" i="32"/>
  <c r="V50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P56" i="32"/>
  <c r="Q56" i="32"/>
  <c r="R56" i="32"/>
  <c r="B57" i="32"/>
  <c r="B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P61" i="32"/>
  <c r="Q61" i="32"/>
  <c r="R61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P65" i="32"/>
  <c r="Q65" i="32"/>
  <c r="R65" i="32"/>
  <c r="S65" i="32"/>
  <c r="T65" i="32"/>
  <c r="U65" i="32"/>
  <c r="V65" i="32"/>
  <c r="C66" i="3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A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A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A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A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U26" i="27"/>
  <c r="V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A32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A34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B2" i="24"/>
  <c r="B3" i="24"/>
  <c r="I10" i="24"/>
  <c r="E11" i="24"/>
  <c r="I11" i="24"/>
  <c r="K11" i="24"/>
  <c r="L11" i="24"/>
  <c r="A12" i="24"/>
  <c r="E12" i="24"/>
  <c r="I12" i="24"/>
  <c r="K12" i="24"/>
  <c r="A13" i="24"/>
  <c r="E13" i="24"/>
  <c r="I13" i="24"/>
  <c r="K13" i="24"/>
  <c r="A14" i="24"/>
  <c r="E14" i="24"/>
  <c r="I14" i="24"/>
  <c r="K14" i="24"/>
  <c r="A15" i="24"/>
  <c r="E15" i="24"/>
  <c r="I15" i="24"/>
  <c r="K15" i="24"/>
  <c r="A16" i="24"/>
  <c r="E16" i="24"/>
  <c r="I16" i="24"/>
  <c r="K16" i="24"/>
  <c r="A17" i="24"/>
  <c r="E17" i="24"/>
  <c r="I17" i="24"/>
  <c r="K17" i="24"/>
  <c r="A18" i="24"/>
  <c r="E18" i="24"/>
  <c r="I18" i="24"/>
  <c r="K18" i="24"/>
  <c r="A19" i="24"/>
  <c r="E19" i="24"/>
  <c r="I19" i="24"/>
  <c r="K19" i="24"/>
  <c r="A20" i="24"/>
  <c r="E20" i="24"/>
  <c r="I20" i="24"/>
  <c r="K20" i="24"/>
  <c r="A21" i="24"/>
  <c r="E21" i="24"/>
  <c r="I21" i="24"/>
  <c r="K21" i="24"/>
  <c r="A22" i="24"/>
  <c r="E22" i="24"/>
  <c r="I22" i="24"/>
  <c r="K22" i="24"/>
  <c r="A23" i="24"/>
  <c r="E23" i="24"/>
  <c r="I23" i="24"/>
  <c r="K23" i="24"/>
  <c r="A24" i="24"/>
  <c r="E24" i="24"/>
  <c r="I24" i="24"/>
  <c r="K24" i="24"/>
  <c r="A25" i="24"/>
  <c r="E25" i="24"/>
  <c r="I25" i="24"/>
  <c r="K25" i="24"/>
  <c r="A26" i="24"/>
  <c r="E26" i="24"/>
  <c r="I26" i="24"/>
  <c r="K26" i="24"/>
  <c r="A27" i="24"/>
  <c r="E27" i="24"/>
  <c r="K27" i="24"/>
  <c r="E28" i="24"/>
  <c r="K28" i="24"/>
  <c r="E29" i="24"/>
  <c r="K29" i="24"/>
  <c r="E30" i="24"/>
  <c r="K30" i="24"/>
  <c r="E31" i="24"/>
  <c r="K31" i="24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B11" i="21"/>
  <c r="B12" i="21"/>
  <c r="B13" i="21"/>
  <c r="B14" i="21"/>
  <c r="B15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B53" i="21"/>
  <c r="A1" i="22"/>
  <c r="C5" i="22"/>
  <c r="A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A11" i="22"/>
  <c r="A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AA12" i="22"/>
  <c r="A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AA13" i="22"/>
  <c r="A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AA14" i="22"/>
  <c r="A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AA15" i="22"/>
  <c r="A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AA16" i="22"/>
  <c r="A17" i="22"/>
  <c r="C17" i="22"/>
  <c r="A19" i="22"/>
  <c r="A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AA20" i="22"/>
  <c r="A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AA21" i="22"/>
  <c r="A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AA22" i="22"/>
  <c r="A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AA23" i="22"/>
  <c r="A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AA24" i="22"/>
  <c r="A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AA25" i="22"/>
  <c r="A26" i="22"/>
  <c r="C26" i="22"/>
  <c r="A28" i="22"/>
  <c r="A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AA29" i="22"/>
  <c r="A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AA30" i="22"/>
  <c r="A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AA31" i="22"/>
  <c r="A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AA32" i="22"/>
  <c r="A33" i="22"/>
  <c r="C33" i="22"/>
  <c r="A35" i="22"/>
  <c r="A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AA36" i="22"/>
  <c r="A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AA37" i="22"/>
  <c r="A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AA38" i="22"/>
  <c r="A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AA39" i="22"/>
  <c r="A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AA40" i="22"/>
  <c r="A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AA41" i="22"/>
  <c r="A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AA42" i="22"/>
  <c r="A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AA43" i="22"/>
  <c r="A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AA44" i="22"/>
  <c r="A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AA45" i="22"/>
  <c r="A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AA46" i="22"/>
  <c r="A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AA47" i="22"/>
  <c r="A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AA48" i="22"/>
  <c r="A49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AA49" i="22"/>
  <c r="A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AA50" i="22"/>
  <c r="A51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AA51" i="22"/>
  <c r="A52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A53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V53" i="22"/>
  <c r="W53" i="22"/>
  <c r="X53" i="22"/>
  <c r="Y53" i="22"/>
  <c r="AA53" i="22"/>
  <c r="A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AA54" i="22"/>
  <c r="A55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AA55" i="22"/>
  <c r="A56" i="22"/>
  <c r="C56" i="22"/>
  <c r="A58" i="22"/>
  <c r="A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AA59" i="22"/>
  <c r="A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AA60" i="22"/>
  <c r="A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AA61" i="22"/>
  <c r="A62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AA62" i="22"/>
  <c r="A63" i="22"/>
  <c r="C63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D91" i="22"/>
  <c r="D92" i="22"/>
  <c r="D93" i="22"/>
  <c r="D94" i="22"/>
  <c r="D95" i="22"/>
  <c r="D99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D101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D102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D103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D104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C107" i="22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C109" i="22"/>
  <c r="D109" i="22"/>
  <c r="D111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D112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S112" i="22"/>
  <c r="T112" i="22"/>
  <c r="U112" i="22"/>
  <c r="V112" i="22"/>
  <c r="W112" i="22"/>
  <c r="X112" i="22"/>
  <c r="Y112" i="22"/>
  <c r="D113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D116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X124" i="22"/>
  <c r="Y124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X125" i="22"/>
  <c r="Y125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X133" i="22"/>
  <c r="Y133" i="22"/>
  <c r="C3" i="25"/>
  <c r="D3" i="25"/>
  <c r="C4" i="25"/>
  <c r="C5" i="25"/>
  <c r="D5" i="25"/>
  <c r="C6" i="25"/>
  <c r="D6" i="25"/>
  <c r="C7" i="25"/>
  <c r="D7" i="25"/>
  <c r="E7" i="25"/>
  <c r="C8" i="25"/>
  <c r="D8" i="25"/>
  <c r="C9" i="25"/>
  <c r="D9" i="25"/>
  <c r="C10" i="25"/>
  <c r="D10" i="25"/>
  <c r="D1" i="29"/>
  <c r="E1" i="29"/>
  <c r="F1" i="29"/>
  <c r="G1" i="29"/>
  <c r="H1" i="29"/>
  <c r="I1" i="29"/>
  <c r="J1" i="29"/>
  <c r="K1" i="29"/>
  <c r="L1" i="29"/>
  <c r="M1" i="29"/>
  <c r="N1" i="29"/>
  <c r="O1" i="29"/>
  <c r="P1" i="29"/>
  <c r="Q1" i="29"/>
  <c r="R1" i="29"/>
  <c r="S1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R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B7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A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A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A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A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A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A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A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A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A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A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A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A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A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A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A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A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A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A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A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A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A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A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A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A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A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A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A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A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A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A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A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A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A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A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A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A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A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A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A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A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A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A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A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A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A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C35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A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A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A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A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A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A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O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A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A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A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C44" i="7"/>
  <c r="C45" i="7"/>
  <c r="A1" i="19"/>
  <c r="A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A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A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A34" i="19"/>
  <c r="A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A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A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A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A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A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A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sharedStrings.xml><?xml version="1.0" encoding="utf-8"?>
<sst xmlns="http://schemas.openxmlformats.org/spreadsheetml/2006/main" count="917" uniqueCount="482">
  <si>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</si>
  <si>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</si>
  <si>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</si>
  <si>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</si>
  <si>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</si>
  <si>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</si>
  <si>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</si>
  <si>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</si>
  <si>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</si>
  <si>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</si>
  <si>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</si>
  <si>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</si>
  <si>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</si>
  <si>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</si>
  <si>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</si>
  <si>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</si>
  <si>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</si>
  <si>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</si>
  <si>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</si>
  <si>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</si>
  <si>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</si>
  <si>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</si>
  <si>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</si>
  <si>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</si>
  <si>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</si>
  <si>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</si>
  <si>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</si>
  <si>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</si>
  <si>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</si>
  <si>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</si>
  <si>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</si>
  <si>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</si>
  <si>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</si>
  <si>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</si>
  <si>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</si>
  <si>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</si>
  <si>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</si>
  <si>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</si>
  <si>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</si>
  <si>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</si>
  <si>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</si>
  <si>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</si>
  <si>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</si>
  <si>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</si>
  <si>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</si>
  <si>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</si>
  <si>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</si>
  <si>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</si>
  <si>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</si>
  <si>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</si>
  <si>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</si>
  <si>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</si>
  <si>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</si>
  <si>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</si>
  <si>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</si>
  <si>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</si>
  <si>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</si>
  <si>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</si>
  <si>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</si>
  <si>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</si>
  <si>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</si>
  <si>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</si>
  <si>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</si>
  <si>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</si>
  <si>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</si>
  <si>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</si>
  <si>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</si>
  <si>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</si>
  <si>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</si>
  <si>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</si>
  <si>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</si>
  <si>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</si>
  <si>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</si>
  <si>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</si>
  <si>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</si>
  <si>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</si>
  <si>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</si>
  <si>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</si>
  <si>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</si>
  <si>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</si>
  <si>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</si>
  <si>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</si>
  <si>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</si>
  <si>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</si>
  <si>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</si>
  <si>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</si>
  <si>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</si>
  <si>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</si>
  <si>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</si>
  <si>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</si>
  <si>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</si>
  <si>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</si>
  <si>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</si>
  <si>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</si>
  <si>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</si>
  <si>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</si>
  <si>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</si>
  <si>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</si>
  <si>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</si>
  <si>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</si>
  <si>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</si>
  <si>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</si>
  <si>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</si>
  <si>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</si>
  <si>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</si>
  <si>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</si>
  <si>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</si>
  <si>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</si>
  <si>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</si>
  <si>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</si>
  <si>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</si>
  <si>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</si>
  <si>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</si>
  <si>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</si>
  <si>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</si>
  <si>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</si>
  <si>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</si>
  <si>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</si>
  <si>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</si>
  <si>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</si>
  <si>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</si>
  <si>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</si>
  <si>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</si>
  <si>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</si>
  <si>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</si>
  <si>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</si>
  <si>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</si>
  <si>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</si>
  <si>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</si>
  <si>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</si>
  <si>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</si>
  <si>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</si>
  <si>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</si>
  <si>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</si>
  <si>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</si>
  <si>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</si>
  <si>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</si>
  <si>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</si>
  <si>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</si>
  <si>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</si>
  <si>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</si>
  <si>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</si>
  <si>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</si>
  <si>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</si>
  <si>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</si>
  <si>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</si>
  <si>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</si>
  <si>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</si>
  <si>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</si>
  <si>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</si>
  <si>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</si>
  <si>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</si>
  <si>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</si>
  <si>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</si>
  <si>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</si>
  <si>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</si>
  <si>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</si>
  <si>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</si>
  <si>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</si>
  <si>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</si>
  <si>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</si>
  <si>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</si>
  <si>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</si>
  <si>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</si>
  <si>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</si>
  <si>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</si>
  <si>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</si>
  <si>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</si>
  <si>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</si>
  <si>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</si>
  <si>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</si>
  <si>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</si>
  <si>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</si>
  <si>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</si>
  <si>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</si>
  <si>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</si>
  <si>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</si>
  <si>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</si>
  <si>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</si>
  <si>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</si>
  <si>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</si>
  <si>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</si>
  <si>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</si>
  <si>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</si>
  <si>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</si>
  <si>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</si>
  <si>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</si>
  <si>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</si>
  <si>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</si>
  <si>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</si>
  <si>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</si>
  <si>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</si>
  <si>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</si>
  <si>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</si>
  <si>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</si>
  <si>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</si>
  <si>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</si>
  <si>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</si>
  <si>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</si>
  <si>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</si>
  <si>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</si>
  <si>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</si>
  <si>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</si>
  <si>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</si>
  <si>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</si>
  <si>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</si>
  <si>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</si>
  <si>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</si>
  <si>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</si>
  <si>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</si>
  <si>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</si>
  <si>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</si>
  <si>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</si>
  <si>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</si>
  <si>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</si>
  <si>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</si>
  <si>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</si>
  <si>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</si>
  <si>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</si>
  <si>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</si>
  <si>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</si>
  <si>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</si>
  <si>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</si>
  <si>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</si>
  <si>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</si>
  <si>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</si>
  <si>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</si>
  <si>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</si>
  <si>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</si>
  <si>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</si>
  <si>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</si>
  <si>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</si>
  <si>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</si>
  <si>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</si>
  <si>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</si>
  <si>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</si>
  <si>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</si>
  <si>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</si>
  <si>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</si>
  <si>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</si>
  <si>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</si>
  <si>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</si>
  <si>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</si>
  <si>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</si>
  <si>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</si>
  <si>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</si>
  <si>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</si>
  <si>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</si>
  <si>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</si>
  <si>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</si>
  <si>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</si>
  <si>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</si>
  <si>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</si>
  <si>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</si>
  <si>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</si>
  <si>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</si>
  <si>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</si>
  <si>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</si>
  <si>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</si>
  <si>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</si>
  <si>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</si>
  <si>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</si>
  <si>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</si>
  <si>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</si>
  <si>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</si>
  <si>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</si>
  <si>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</si>
  <si>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</si>
  <si>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</si>
  <si>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</si>
  <si>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</si>
  <si>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</si>
  <si>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</si>
  <si>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</si>
  <si>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</si>
  <si>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</si>
  <si>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</si>
  <si>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</si>
  <si>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</si>
  <si>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</si>
  <si>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</si>
  <si>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</si>
  <si>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</si>
  <si>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</si>
  <si>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</si>
  <si>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</si>
  <si>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</si>
  <si>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</si>
  <si>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</si>
  <si>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</si>
  <si>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</si>
  <si>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</si>
  <si>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</si>
  <si>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</si>
  <si>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</si>
  <si>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</si>
  <si>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</si>
  <si>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</si>
  <si>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</si>
  <si>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</si>
  <si>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</si>
  <si>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</si>
  <si>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</si>
  <si>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</si>
  <si>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</si>
  <si>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</si>
  <si>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</si>
  <si>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</si>
  <si>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</si>
  <si>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</si>
  <si>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</si>
  <si>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</si>
  <si>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</si>
  <si>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</si>
  <si>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</si>
  <si>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</si>
  <si>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</si>
  <si>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</si>
  <si>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</si>
  <si>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</si>
  <si>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</si>
  <si>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</si>
  <si>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</si>
  <si>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</si>
  <si>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</si>
  <si>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</si>
  <si>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</si>
  <si>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</si>
  <si>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</si>
  <si>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</si>
  <si>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</si>
  <si>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</si>
  <si>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</si>
  <si>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</si>
  <si>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</si>
  <si>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</si>
  <si>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</si>
  <si>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</si>
  <si>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</si>
  <si>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</si>
  <si>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</si>
  <si>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</si>
  <si>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</si>
  <si>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</si>
  <si>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</si>
  <si>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</si>
  <si>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</si>
  <si>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</si>
  <si>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</si>
  <si>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</si>
  <si>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</si>
  <si>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</si>
  <si>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</si>
  <si>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</si>
  <si>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</si>
  <si>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</si>
  <si>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</si>
  <si>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</si>
  <si>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</si>
  <si>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</si>
  <si>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</si>
  <si>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</si>
  <si>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</si>
  <si>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</si>
  <si>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</si>
  <si>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</si>
  <si>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</si>
  <si>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</si>
  <si>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</si>
  <si>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</si>
  <si>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</si>
  <si>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</si>
  <si>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</si>
  <si>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</si>
  <si>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</si>
  <si>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</si>
  <si>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</si>
  <si>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</si>
  <si>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</si>
  <si>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</si>
  <si>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</si>
  <si>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</si>
  <si>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</si>
  <si>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</si>
  <si>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</si>
  <si>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</si>
  <si>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</si>
  <si>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</si>
  <si>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</si>
  <si>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</si>
  <si>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</si>
  <si>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</si>
  <si>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</si>
  <si>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</si>
  <si>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</si>
  <si>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</si>
  <si>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</si>
  <si>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</si>
  <si>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</si>
  <si>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</si>
  <si>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</si>
  <si>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</si>
  <si>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</si>
  <si>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</si>
  <si>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</si>
  <si>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</si>
  <si>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</si>
  <si>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</si>
  <si>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</si>
  <si>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</si>
  <si>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</si>
  <si>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</si>
  <si>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</si>
  <si>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</si>
  <si>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</si>
  <si>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</si>
  <si>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</si>
  <si>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</si>
  <si>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</si>
  <si>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</si>
  <si>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</si>
  <si>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</si>
  <si>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</si>
  <si>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</si>
  <si>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</si>
  <si>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</si>
  <si>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</si>
  <si>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</si>
  <si>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</si>
  <si>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</si>
  <si>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</si>
  <si>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</si>
  <si>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</si>
  <si>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</si>
  <si>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</si>
  <si>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</si>
  <si>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</si>
  <si>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</si>
  <si>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</si>
  <si>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</si>
  <si>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</si>
  <si>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</si>
  <si>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</si>
  <si>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</si>
  <si>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</si>
  <si>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</si>
  <si>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</si>
  <si>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</si>
  <si>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</si>
  <si>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</si>
  <si>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</si>
  <si>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</si>
  <si>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</si>
  <si>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</si>
  <si>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</si>
  <si>
    <t xml:space="preserve">   Fixed Pmt from ENA</t>
  </si>
  <si>
    <t xml:space="preserve">   Floating Pmt from ENA</t>
  </si>
  <si>
    <t xml:space="preserve">   Floating Pmt to ENA</t>
  </si>
  <si>
    <t xml:space="preserve">   Fixed Pmt to ENA</t>
  </si>
  <si>
    <t>Non-Investment Grade</t>
  </si>
  <si>
    <t>Fee Sensitivity Analysis</t>
  </si>
  <si>
    <t>T + 150 bps</t>
  </si>
  <si>
    <t>Equity Returns</t>
  </si>
  <si>
    <t>T + 250 bps</t>
  </si>
  <si>
    <t>ENA Fee</t>
  </si>
  <si>
    <t>$ MM</t>
  </si>
  <si>
    <t>Total Output (MW's)</t>
  </si>
  <si>
    <t>15 year proforma</t>
  </si>
  <si>
    <t xml:space="preserve">Rate: T (6.50%)+ 450 bps </t>
  </si>
  <si>
    <t>50% Leverage</t>
  </si>
  <si>
    <t>Equity ROE of 14.31%</t>
  </si>
  <si>
    <t>Each 10 bp equals .98% of Value (PV 20, 8%)</t>
  </si>
  <si>
    <t>TECO Base Case:</t>
  </si>
  <si>
    <t xml:space="preserve">   Equity ROE: 18.14%</t>
  </si>
  <si>
    <t xml:space="preserve">   Debt: T+450 bps</t>
  </si>
  <si>
    <t xml:space="preserve">   Term: 15 yr. Proforma</t>
  </si>
  <si>
    <t xml:space="preserve">   Debt Ratio: 51%</t>
  </si>
  <si>
    <t>MW's</t>
  </si>
  <si>
    <t>All-in Cap Cost</t>
  </si>
  <si>
    <t>50 MW Block NOT Taken OutNo ENA Fees Taken Out</t>
  </si>
  <si>
    <t>Tot Op. EXPS w/o Mgmt &amp; Mkt. Fee</t>
  </si>
  <si>
    <t>Fixed O&amp;M (Yvan's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</si>
</sst>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"/>
    <numFmt numFmtId="165" formatCode="#,##0.0"/>
    <numFmt numFmtId="166" formatCode="&quot;$&quot;#,##0.00"/>
    <numFmt numFmtId="168" formatCode="hh:mm"/>
    <numFmt numFmtId="169" formatCode="0.0%"/>
    <numFmt numFmtId="170" formatCode="&quot;$&quot;#,##0"/>
    <numFmt numFmtId="171" formatCode="&quot;$&quot;#,##0.0000"/>
    <numFmt numFmtId="172" formatCode=";;;"/>
    <numFmt numFmtId="173" formatCode="#,##0.000"/>
    <numFmt numFmtId="174" formatCode="&quot;$&quot;#,##0.0"/>
    <numFmt numFmtId="175" formatCode="&quot;$&quot;#,##0.000"/>
    <numFmt numFmtId="176" formatCode="&quot;$&quot;#,##0.00000"/>
    <numFmt numFmtId="177" formatCode="&quot;$&quot;#,##0.0000000"/>
    <numFmt numFmtId="178" formatCode="0.000"/>
    <numFmt numFmtId="179" formatCode="0.0"/>
    <numFmt numFmtId="180" formatCode="0.0000"/>
    <numFmt numFmtId="181" formatCode="General;[Red]\-General"/>
    <numFmt numFmtId="184" formatCode="0.000%"/>
    <numFmt numFmtId="186" formatCode="_(&quot;$&quot;* #,##0.0_);_(&quot;$&quot;* \(#,##0.0\);_(&quot;$&quot;* &quot;-&quot;??_);_(@_)"/>
    <numFmt numFmtId="188" formatCode="_(&quot;$&quot;* #,##0_);_(&quot;$&quot;* \(#,##0\);_(&quot;$&quot;* &quot;-&quot;??_);_(@_)"/>
    <numFmt numFmtId="207" formatCode="0.0000000000000000000000%"/>
    <numFmt numFmtId="210" formatCode="_(* #,##0_);_(* \(#,##0\);_(* &quot;-&quot;??_);_(@_)"/>
    <numFmt numFmtId="211" formatCode="m/d/yy"/>
  </numFmts>
  <fonts count="38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  <font>
      <b/>
      <sz val="12"/>
      <color indexed="12"/>
      <name val="Times New Roman"/>
      <family val="1"/>
    </font>
    <font>
      <u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3" fillId="0" borderId="0"/>
    <xf numFmtId="170" fontId="18" fillId="0" borderId="0"/>
    <xf numFmtId="170" fontId="18" fillId="0" borderId="0"/>
    <xf numFmtId="0" fontId="35" fillId="0" borderId="0"/>
    <xf numFmtId="170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0" fontId="18" fillId="0" borderId="0"/>
    <xf numFmtId="9" fontId="35" fillId="0" borderId="0" applyFont="0" applyFill="0" applyBorder="0" applyAlignment="0" applyProtection="0"/>
  </cellStyleXfs>
  <cellXfs count="849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69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6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69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9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170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3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5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2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5" fontId="3" fillId="2" borderId="3" xfId="0" applyNumberFormat="1" applyFont="1" applyFill="1" applyBorder="1" applyAlignment="1" applyProtection="1">
      <alignment horizontal="center"/>
      <protection locked="0"/>
    </xf>
    <xf numFmtId="175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5" fontId="13" fillId="2" borderId="1" xfId="0" applyNumberFormat="1" applyFont="1" applyFill="1" applyBorder="1" applyAlignment="1" applyProtection="1">
      <alignment horizontal="center"/>
      <protection locked="0"/>
    </xf>
    <xf numFmtId="175" fontId="3" fillId="0" borderId="3" xfId="0" applyNumberFormat="1" applyFont="1" applyBorder="1" applyAlignment="1" applyProtection="1">
      <alignment horizontal="center"/>
      <protection locked="0"/>
    </xf>
    <xf numFmtId="170" fontId="14" fillId="2" borderId="0" xfId="0" applyNumberFormat="1" applyFont="1" applyFill="1" applyAlignment="1">
      <alignment horizontal="center"/>
    </xf>
    <xf numFmtId="175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5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6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3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69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5" fontId="12" fillId="2" borderId="1" xfId="0" applyNumberFormat="1" applyFont="1" applyFill="1" applyBorder="1" applyAlignment="1" applyProtection="1">
      <alignment horizontal="center"/>
      <protection locked="0"/>
    </xf>
    <xf numFmtId="175" fontId="2" fillId="2" borderId="3" xfId="0" applyNumberFormat="1" applyFont="1" applyFill="1" applyBorder="1" applyAlignment="1" applyProtection="1">
      <alignment horizontal="center"/>
      <protection locked="0"/>
    </xf>
    <xf numFmtId="170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2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2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2" applyAlignment="1"/>
    <xf numFmtId="0" fontId="2" fillId="0" borderId="0" xfId="12" applyNumberFormat="1" applyFont="1" applyAlignment="1"/>
    <xf numFmtId="0" fontId="2" fillId="0" borderId="0" xfId="12" applyNumberFormat="1" applyFont="1" applyAlignment="1">
      <alignment horizontal="center"/>
    </xf>
    <xf numFmtId="2" fontId="3" fillId="0" borderId="0" xfId="12" applyNumberFormat="1"/>
    <xf numFmtId="0" fontId="3" fillId="0" borderId="0" xfId="12" applyFont="1" applyAlignment="1">
      <alignment horizontal="center"/>
    </xf>
    <xf numFmtId="170" fontId="3" fillId="0" borderId="0" xfId="12" applyNumberFormat="1"/>
    <xf numFmtId="166" fontId="4" fillId="0" borderId="0" xfId="12" applyNumberFormat="1" applyFont="1" applyAlignment="1"/>
    <xf numFmtId="166" fontId="3" fillId="0" borderId="0" xfId="12" applyNumberFormat="1"/>
    <xf numFmtId="0" fontId="3" fillId="0" borderId="0" xfId="12" applyNumberFormat="1" applyFont="1" applyAlignment="1"/>
    <xf numFmtId="10" fontId="3" fillId="0" borderId="0" xfId="12" applyNumberFormat="1"/>
    <xf numFmtId="176" fontId="3" fillId="0" borderId="0" xfId="12" applyNumberFormat="1"/>
    <xf numFmtId="0" fontId="3" fillId="0" borderId="0" xfId="12" applyNumberFormat="1" applyFont="1" applyAlignment="1" applyProtection="1">
      <alignment horizontal="center"/>
      <protection locked="0"/>
    </xf>
    <xf numFmtId="0" fontId="3" fillId="0" borderId="0" xfId="12" applyNumberFormat="1" applyProtection="1">
      <protection locked="0"/>
    </xf>
    <xf numFmtId="0" fontId="3" fillId="0" borderId="0" xfId="12" applyNumberFormat="1"/>
    <xf numFmtId="0" fontId="2" fillId="0" borderId="4" xfId="12" applyNumberFormat="1" applyFont="1" applyBorder="1" applyAlignment="1"/>
    <xf numFmtId="0" fontId="2" fillId="0" borderId="5" xfId="12" applyFont="1" applyBorder="1" applyAlignment="1"/>
    <xf numFmtId="0" fontId="2" fillId="0" borderId="4" xfId="12" applyFont="1" applyBorder="1" applyAlignment="1"/>
    <xf numFmtId="0" fontId="3" fillId="0" borderId="1" xfId="12" applyBorder="1"/>
    <xf numFmtId="0" fontId="3" fillId="0" borderId="1" xfId="12" applyNumberFormat="1" applyBorder="1"/>
    <xf numFmtId="4" fontId="3" fillId="0" borderId="0" xfId="12" applyNumberFormat="1" applyProtection="1">
      <protection locked="0"/>
    </xf>
    <xf numFmtId="4" fontId="3" fillId="0" borderId="1" xfId="12" applyNumberFormat="1" applyBorder="1" applyProtection="1">
      <protection locked="0"/>
    </xf>
    <xf numFmtId="0" fontId="2" fillId="0" borderId="1" xfId="12" applyNumberFormat="1" applyFont="1" applyBorder="1" applyAlignment="1"/>
    <xf numFmtId="0" fontId="3" fillId="0" borderId="1" xfId="12" applyNumberFormat="1" applyBorder="1" applyProtection="1">
      <protection locked="0"/>
    </xf>
    <xf numFmtId="10" fontId="3" fillId="0" borderId="1" xfId="12" applyNumberFormat="1" applyBorder="1"/>
    <xf numFmtId="10" fontId="4" fillId="0" borderId="0" xfId="12" applyNumberFormat="1" applyFont="1" applyAlignment="1"/>
    <xf numFmtId="10" fontId="4" fillId="0" borderId="1" xfId="12" applyNumberFormat="1" applyFont="1" applyBorder="1" applyAlignment="1"/>
    <xf numFmtId="166" fontId="3" fillId="0" borderId="1" xfId="12" applyNumberFormat="1" applyBorder="1"/>
    <xf numFmtId="0" fontId="3" fillId="0" borderId="5" xfId="12" applyBorder="1"/>
    <xf numFmtId="166" fontId="3" fillId="0" borderId="5" xfId="12" applyNumberFormat="1" applyBorder="1" applyProtection="1">
      <protection locked="0"/>
    </xf>
    <xf numFmtId="166" fontId="3" fillId="0" borderId="0" xfId="12" applyNumberFormat="1" applyProtection="1">
      <protection locked="0"/>
    </xf>
    <xf numFmtId="166" fontId="3" fillId="0" borderId="1" xfId="12" applyNumberFormat="1" applyBorder="1" applyProtection="1">
      <protection locked="0"/>
    </xf>
    <xf numFmtId="10" fontId="3" fillId="0" borderId="0" xfId="12" applyNumberFormat="1" applyFont="1" applyAlignment="1" applyProtection="1">
      <protection locked="0"/>
    </xf>
    <xf numFmtId="10" fontId="2" fillId="0" borderId="0" xfId="12" applyNumberFormat="1" applyFont="1" applyAlignment="1" applyProtection="1">
      <protection locked="0"/>
    </xf>
    <xf numFmtId="10" fontId="3" fillId="0" borderId="0" xfId="12" applyNumberFormat="1" applyProtection="1">
      <protection locked="0"/>
    </xf>
    <xf numFmtId="0" fontId="2" fillId="0" borderId="5" xfId="12" applyNumberFormat="1" applyFont="1" applyBorder="1" applyAlignment="1"/>
    <xf numFmtId="166" fontId="3" fillId="0" borderId="5" xfId="12" applyNumberFormat="1" applyBorder="1"/>
    <xf numFmtId="3" fontId="3" fillId="0" borderId="0" xfId="12" applyNumberFormat="1" applyProtection="1">
      <protection locked="0"/>
    </xf>
    <xf numFmtId="3" fontId="4" fillId="0" borderId="0" xfId="12" applyNumberFormat="1" applyFont="1" applyAlignment="1" applyProtection="1">
      <protection locked="0"/>
    </xf>
    <xf numFmtId="3" fontId="3" fillId="0" borderId="0" xfId="12" applyNumberFormat="1"/>
    <xf numFmtId="0" fontId="3" fillId="0" borderId="5" xfId="12" applyNumberFormat="1" applyBorder="1"/>
    <xf numFmtId="177" fontId="3" fillId="0" borderId="0" xfId="12" applyNumberFormat="1"/>
    <xf numFmtId="0" fontId="1" fillId="2" borderId="0" xfId="13" applyNumberFormat="1" applyFont="1" applyFill="1" applyAlignment="1"/>
    <xf numFmtId="0" fontId="3" fillId="2" borderId="0" xfId="13" applyNumberFormat="1" applyFont="1" applyFill="1" applyAlignment="1"/>
    <xf numFmtId="0" fontId="2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protection locked="0"/>
    </xf>
    <xf numFmtId="0" fontId="2" fillId="2" borderId="2" xfId="13" applyNumberFormat="1" applyFont="1" applyFill="1" applyBorder="1" applyAlignment="1"/>
    <xf numFmtId="0" fontId="3" fillId="0" borderId="6" xfId="13" applyNumberFormat="1" applyFont="1" applyBorder="1" applyAlignment="1"/>
    <xf numFmtId="0" fontId="3" fillId="0" borderId="3" xfId="13" applyNumberFormat="1" applyFont="1" applyBorder="1" applyAlignment="1"/>
    <xf numFmtId="0" fontId="3" fillId="3" borderId="0" xfId="13" applyNumberFormat="1" applyFont="1" applyFill="1" applyAlignment="1"/>
    <xf numFmtId="0" fontId="3" fillId="0" borderId="0" xfId="13" applyNumberFormat="1" applyFont="1" applyAlignment="1"/>
    <xf numFmtId="0" fontId="5" fillId="2" borderId="0" xfId="13" applyNumberFormat="1" applyFont="1" applyFill="1" applyAlignment="1"/>
    <xf numFmtId="0" fontId="2" fillId="0" borderId="0" xfId="13" applyNumberFormat="1" applyFont="1" applyAlignment="1"/>
    <xf numFmtId="0" fontId="2" fillId="0" borderId="2" xfId="13" applyNumberFormat="1" applyFont="1" applyBorder="1" applyAlignment="1"/>
    <xf numFmtId="0" fontId="2" fillId="0" borderId="3" xfId="13" applyNumberFormat="1" applyFont="1" applyBorder="1" applyAlignment="1"/>
    <xf numFmtId="0" fontId="20" fillId="0" borderId="0" xfId="13" applyNumberFormat="1" applyFont="1" applyAlignment="1"/>
    <xf numFmtId="0" fontId="21" fillId="0" borderId="0" xfId="13" applyNumberFormat="1" applyFont="1" applyAlignment="1"/>
    <xf numFmtId="0" fontId="5" fillId="0" borderId="3" xfId="13" applyNumberFormat="1" applyFont="1" applyBorder="1" applyAlignment="1"/>
    <xf numFmtId="166" fontId="3" fillId="0" borderId="0" xfId="13" applyNumberFormat="1" applyFont="1" applyAlignment="1"/>
    <xf numFmtId="0" fontId="20" fillId="0" borderId="0" xfId="13" applyNumberFormat="1" applyFont="1" applyAlignment="1">
      <alignment horizontal="center"/>
    </xf>
    <xf numFmtId="0" fontId="21" fillId="0" borderId="0" xfId="13" applyNumberFormat="1" applyFont="1" applyAlignment="1">
      <alignment horizontal="center"/>
    </xf>
    <xf numFmtId="166" fontId="3" fillId="0" borderId="6" xfId="13" applyNumberFormat="1" applyFont="1" applyBorder="1" applyAlignment="1"/>
    <xf numFmtId="166" fontId="2" fillId="0" borderId="0" xfId="13" applyNumberFormat="1" applyFont="1" applyAlignment="1"/>
    <xf numFmtId="166" fontId="3" fillId="0" borderId="2" xfId="13" applyNumberFormat="1" applyFont="1" applyBorder="1" applyAlignment="1"/>
    <xf numFmtId="166" fontId="3" fillId="0" borderId="3" xfId="13" applyNumberFormat="1" applyFont="1" applyBorder="1" applyAlignment="1"/>
    <xf numFmtId="0" fontId="1" fillId="2" borderId="0" xfId="11" applyNumberFormat="1" applyFont="1" applyFill="1" applyAlignment="1"/>
    <xf numFmtId="0" fontId="3" fillId="2" borderId="0" xfId="11" applyNumberFormat="1" applyFont="1" applyFill="1" applyAlignment="1"/>
    <xf numFmtId="0" fontId="2" fillId="2" borderId="0" xfId="11" applyNumberFormat="1" applyFont="1" applyFill="1" applyAlignment="1">
      <alignment horizontal="center"/>
    </xf>
    <xf numFmtId="0" fontId="3" fillId="0" borderId="0" xfId="11" applyAlignment="1"/>
    <xf numFmtId="0" fontId="2" fillId="2" borderId="2" xfId="11" applyNumberFormat="1" applyFont="1" applyFill="1" applyBorder="1" applyAlignment="1"/>
    <xf numFmtId="0" fontId="3" fillId="0" borderId="6" xfId="11" applyNumberFormat="1" applyFont="1" applyBorder="1" applyAlignment="1"/>
    <xf numFmtId="0" fontId="3" fillId="0" borderId="3" xfId="11" applyNumberFormat="1" applyFont="1" applyBorder="1" applyAlignment="1"/>
    <xf numFmtId="15" fontId="3" fillId="2" borderId="0" xfId="11" applyNumberFormat="1" applyFont="1" applyFill="1" applyAlignment="1">
      <alignment horizontal="right"/>
    </xf>
    <xf numFmtId="0" fontId="3" fillId="3" borderId="0" xfId="11" applyNumberFormat="1" applyFont="1" applyFill="1" applyAlignment="1"/>
    <xf numFmtId="164" fontId="3" fillId="3" borderId="0" xfId="11" applyNumberFormat="1" applyFont="1" applyFill="1" applyAlignment="1">
      <alignment horizontal="right"/>
    </xf>
    <xf numFmtId="0" fontId="2" fillId="0" borderId="0" xfId="11" applyNumberFormat="1" applyFont="1" applyAlignment="1"/>
    <xf numFmtId="0" fontId="2" fillId="0" borderId="0" xfId="11" applyFont="1" applyAlignment="1"/>
    <xf numFmtId="3" fontId="3" fillId="0" borderId="0" xfId="11" applyNumberFormat="1"/>
    <xf numFmtId="4" fontId="4" fillId="0" borderId="0" xfId="11" applyNumberFormat="1" applyFont="1" applyAlignment="1"/>
    <xf numFmtId="170" fontId="3" fillId="0" borderId="0" xfId="11" applyNumberFormat="1"/>
    <xf numFmtId="170" fontId="3" fillId="2" borderId="0" xfId="11" applyNumberFormat="1" applyFont="1" applyFill="1" applyAlignment="1"/>
    <xf numFmtId="4" fontId="3" fillId="0" borderId="0" xfId="11" applyNumberFormat="1"/>
    <xf numFmtId="4" fontId="3" fillId="2" borderId="0" xfId="11" applyNumberFormat="1" applyFont="1" applyFill="1" applyAlignment="1"/>
    <xf numFmtId="3" fontId="3" fillId="2" borderId="0" xfId="11" applyNumberFormat="1" applyFont="1" applyFill="1" applyAlignment="1"/>
    <xf numFmtId="4" fontId="4" fillId="2" borderId="0" xfId="11" applyNumberFormat="1" applyFont="1" applyFill="1" applyAlignment="1"/>
    <xf numFmtId="0" fontId="2" fillId="2" borderId="0" xfId="11" applyNumberFormat="1" applyFont="1" applyFill="1" applyAlignment="1"/>
    <xf numFmtId="3" fontId="4" fillId="0" borderId="0" xfId="11" applyNumberFormat="1" applyFont="1" applyAlignment="1"/>
    <xf numFmtId="0" fontId="3" fillId="0" borderId="0" xfId="11" applyNumberFormat="1" applyFont="1" applyAlignment="1"/>
    <xf numFmtId="166" fontId="3" fillId="0" borderId="0" xfId="11" applyNumberFormat="1"/>
    <xf numFmtId="0" fontId="15" fillId="0" borderId="0" xfId="11" applyNumberFormat="1" applyFont="1" applyAlignment="1"/>
    <xf numFmtId="175" fontId="3" fillId="0" borderId="0" xfId="11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6" fontId="4" fillId="0" borderId="0" xfId="0" applyNumberFormat="1" applyFont="1" applyAlignment="1"/>
    <xf numFmtId="170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0" fontId="5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10" applyNumberFormat="1" applyFont="1" applyAlignment="1"/>
    <xf numFmtId="0" fontId="18" fillId="0" borderId="0" xfId="10" applyNumberFormat="1" applyFont="1" applyAlignment="1" applyProtection="1">
      <protection locked="0"/>
    </xf>
    <xf numFmtId="0" fontId="22" fillId="0" borderId="0" xfId="10" applyNumberFormat="1" applyFont="1" applyAlignment="1">
      <alignment horizontal="center"/>
    </xf>
    <xf numFmtId="0" fontId="2" fillId="0" borderId="2" xfId="10" applyNumberFormat="1" applyFont="1" applyBorder="1" applyAlignment="1"/>
    <xf numFmtId="0" fontId="18" fillId="0" borderId="3" xfId="10" applyNumberFormat="1" applyBorder="1"/>
    <xf numFmtId="15" fontId="18" fillId="0" borderId="0" xfId="10" applyNumberFormat="1"/>
    <xf numFmtId="0" fontId="18" fillId="3" borderId="0" xfId="10" applyNumberFormat="1" applyFont="1" applyFill="1" applyAlignment="1"/>
    <xf numFmtId="0" fontId="23" fillId="0" borderId="0" xfId="10" applyNumberFormat="1" applyFont="1" applyAlignment="1"/>
    <xf numFmtId="1" fontId="5" fillId="2" borderId="0" xfId="10" applyNumberFormat="1" applyFont="1" applyFill="1" applyAlignment="1"/>
    <xf numFmtId="0" fontId="3" fillId="0" borderId="0" xfId="10" applyNumberFormat="1" applyFont="1" applyAlignment="1"/>
    <xf numFmtId="0" fontId="3" fillId="2" borderId="0" xfId="10" applyNumberFormat="1" applyFont="1" applyFill="1" applyAlignment="1"/>
    <xf numFmtId="3" fontId="3" fillId="0" borderId="0" xfId="10" applyNumberFormat="1" applyFont="1" applyAlignment="1"/>
    <xf numFmtId="3" fontId="5" fillId="2" borderId="0" xfId="10" applyNumberFormat="1" applyFont="1" applyFill="1" applyAlignment="1"/>
    <xf numFmtId="3" fontId="3" fillId="2" borderId="0" xfId="10" applyNumberFormat="1" applyFont="1" applyFill="1" applyAlignment="1"/>
    <xf numFmtId="170" fontId="3" fillId="2" borderId="0" xfId="10" applyFont="1" applyFill="1" applyAlignment="1"/>
    <xf numFmtId="170" fontId="3" fillId="2" borderId="0" xfId="10" applyNumberFormat="1" applyFont="1" applyFill="1" applyAlignment="1" applyProtection="1">
      <protection locked="0"/>
    </xf>
    <xf numFmtId="170" fontId="18" fillId="2" borderId="0" xfId="10" applyFill="1" applyAlignment="1"/>
    <xf numFmtId="3" fontId="2" fillId="2" borderId="0" xfId="10" applyNumberFormat="1" applyFont="1" applyFill="1" applyAlignment="1"/>
    <xf numFmtId="170" fontId="5" fillId="2" borderId="0" xfId="10" applyFont="1" applyFill="1" applyAlignment="1"/>
    <xf numFmtId="180" fontId="3" fillId="0" borderId="0" xfId="10" applyNumberFormat="1" applyFont="1" applyAlignment="1"/>
    <xf numFmtId="0" fontId="2" fillId="0" borderId="0" xfId="10" applyNumberFormat="1" applyFont="1" applyAlignment="1"/>
    <xf numFmtId="170" fontId="3" fillId="0" borderId="0" xfId="10" applyFont="1" applyAlignment="1"/>
    <xf numFmtId="180" fontId="4" fillId="0" borderId="0" xfId="10" applyNumberFormat="1" applyFont="1" applyAlignment="1"/>
    <xf numFmtId="0" fontId="4" fillId="0" borderId="0" xfId="10" applyNumberFormat="1" applyFont="1" applyAlignment="1"/>
    <xf numFmtId="170" fontId="4" fillId="0" borderId="0" xfId="10" applyFont="1" applyAlignment="1"/>
    <xf numFmtId="166" fontId="3" fillId="0" borderId="0" xfId="10" applyNumberFormat="1" applyFont="1" applyAlignment="1"/>
    <xf numFmtId="0" fontId="2" fillId="0" borderId="0" xfId="10" applyNumberFormat="1" applyFont="1" applyAlignment="1">
      <alignment horizontal="center"/>
    </xf>
    <xf numFmtId="0" fontId="18" fillId="0" borderId="0" xfId="10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1" fontId="2" fillId="0" borderId="0" xfId="7" applyNumberFormat="1" applyFont="1" applyAlignment="1">
      <alignment horizontal="center"/>
    </xf>
    <xf numFmtId="181" fontId="3" fillId="2" borderId="0" xfId="7" applyNumberFormat="1" applyFont="1" applyFill="1" applyAlignment="1"/>
    <xf numFmtId="181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5" fontId="3" fillId="2" borderId="0" xfId="7" applyNumberFormat="1" applyFont="1" applyFill="1" applyAlignment="1">
      <alignment horizontal="right"/>
    </xf>
    <xf numFmtId="181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4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5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1" fontId="3" fillId="0" borderId="0" xfId="7" applyNumberFormat="1" applyFont="1" applyAlignment="1"/>
    <xf numFmtId="181" fontId="2" fillId="0" borderId="4" xfId="7" applyNumberFormat="1" applyFont="1" applyBorder="1" applyAlignment="1"/>
    <xf numFmtId="181" fontId="3" fillId="0" borderId="5" xfId="7" applyNumberFormat="1" applyFont="1" applyBorder="1" applyAlignment="1"/>
    <xf numFmtId="181" fontId="3" fillId="2" borderId="1" xfId="7" applyNumberFormat="1" applyFont="1" applyFill="1" applyBorder="1" applyAlignment="1"/>
    <xf numFmtId="181" fontId="3" fillId="0" borderId="1" xfId="7" applyNumberFormat="1" applyFont="1" applyBorder="1" applyAlignment="1"/>
    <xf numFmtId="170" fontId="3" fillId="2" borderId="0" xfId="7" applyFont="1" applyFill="1" applyAlignment="1"/>
    <xf numFmtId="181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1" fontId="2" fillId="2" borderId="1" xfId="7" applyNumberFormat="1" applyFont="1" applyFill="1" applyBorder="1" applyAlignment="1"/>
    <xf numFmtId="181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69" fontId="3" fillId="2" borderId="0" xfId="7" applyNumberFormat="1" applyFont="1" applyFill="1" applyAlignment="1"/>
    <xf numFmtId="172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0" fontId="3" fillId="0" borderId="0" xfId="8" applyFont="1" applyAlignment="1"/>
    <xf numFmtId="170" fontId="4" fillId="0" borderId="0" xfId="8" applyFont="1" applyAlignment="1"/>
    <xf numFmtId="3" fontId="2" fillId="2" borderId="1" xfId="8" applyNumberFormat="1" applyFont="1" applyFill="1" applyBorder="1" applyAlignment="1"/>
    <xf numFmtId="166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0" fontId="5" fillId="0" borderId="0" xfId="8" applyFont="1" applyAlignment="1"/>
    <xf numFmtId="170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0" fontId="3" fillId="2" borderId="0" xfId="3" applyFont="1" applyFill="1" applyAlignment="1"/>
    <xf numFmtId="10" fontId="3" fillId="2" borderId="0" xfId="3" applyNumberFormat="1" applyFont="1" applyFill="1" applyAlignment="1"/>
    <xf numFmtId="165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0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0" fontId="3" fillId="2" borderId="0" xfId="3" applyFill="1" applyAlignment="1"/>
    <xf numFmtId="166" fontId="3" fillId="0" borderId="0" xfId="3" applyNumberFormat="1"/>
    <xf numFmtId="0" fontId="1" fillId="0" borderId="0" xfId="4" applyFont="1" applyAlignment="1"/>
    <xf numFmtId="166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6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6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6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6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6" fontId="6" fillId="0" borderId="0" xfId="4" applyNumberFormat="1" applyFont="1" applyAlignment="1">
      <alignment horizontal="left"/>
    </xf>
    <xf numFmtId="169" fontId="3" fillId="0" borderId="0" xfId="4" applyNumberFormat="1" applyFont="1" applyAlignment="1"/>
    <xf numFmtId="166" fontId="6" fillId="0" borderId="0" xfId="4" applyNumberFormat="1" applyFont="1" applyAlignment="1"/>
    <xf numFmtId="166" fontId="6" fillId="0" borderId="5" xfId="4" applyNumberFormat="1" applyFont="1" applyBorder="1" applyAlignment="1"/>
    <xf numFmtId="174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5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4" fontId="3" fillId="3" borderId="0" xfId="5" applyNumberFormat="1" applyFont="1" applyFill="1" applyAlignment="1"/>
    <xf numFmtId="164" fontId="3" fillId="3" borderId="0" xfId="5" applyNumberFormat="1" applyFont="1" applyFill="1" applyAlignment="1">
      <alignment horizontal="right"/>
    </xf>
    <xf numFmtId="174" fontId="3" fillId="0" borderId="0" xfId="5" applyNumberFormat="1" applyFont="1" applyAlignment="1"/>
    <xf numFmtId="164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4" fontId="6" fillId="0" borderId="0" xfId="5" applyNumberFormat="1" applyFont="1" applyAlignment="1">
      <alignment horizontal="center"/>
    </xf>
    <xf numFmtId="170" fontId="3" fillId="0" borderId="1" xfId="5" applyFont="1" applyBorder="1" applyAlignment="1"/>
    <xf numFmtId="170" fontId="3" fillId="0" borderId="0" xfId="5" applyFont="1" applyAlignment="1"/>
    <xf numFmtId="166" fontId="3" fillId="0" borderId="0" xfId="5" applyNumberFormat="1" applyFont="1" applyAlignment="1">
      <alignment horizontal="center"/>
    </xf>
    <xf numFmtId="174" fontId="25" fillId="0" borderId="0" xfId="5" applyNumberFormat="1" applyFont="1" applyAlignment="1">
      <alignment horizontal="center"/>
    </xf>
    <xf numFmtId="174" fontId="7" fillId="0" borderId="0" xfId="5" applyNumberFormat="1" applyFont="1" applyAlignment="1">
      <alignment horizontal="center"/>
    </xf>
    <xf numFmtId="166" fontId="6" fillId="0" borderId="0" xfId="5" applyNumberFormat="1" applyFont="1" applyAlignment="1">
      <alignment horizontal="center"/>
    </xf>
    <xf numFmtId="170" fontId="3" fillId="0" borderId="1" xfId="5" applyBorder="1" applyAlignment="1"/>
    <xf numFmtId="10" fontId="6" fillId="0" borderId="0" xfId="5" applyNumberFormat="1" applyFont="1" applyAlignment="1">
      <alignment horizontal="center"/>
    </xf>
    <xf numFmtId="170" fontId="6" fillId="0" borderId="0" xfId="5" applyFont="1" applyAlignment="1">
      <alignment horizontal="center"/>
    </xf>
    <xf numFmtId="170" fontId="25" fillId="0" borderId="0" xfId="5" applyFont="1" applyAlignment="1">
      <alignment horizontal="center"/>
    </xf>
    <xf numFmtId="170" fontId="4" fillId="0" borderId="1" xfId="5" applyFont="1" applyBorder="1" applyAlignment="1"/>
    <xf numFmtId="170" fontId="4" fillId="0" borderId="0" xfId="5" applyFont="1" applyAlignment="1"/>
    <xf numFmtId="170" fontId="16" fillId="0" borderId="0" xfId="5" applyFont="1" applyAlignment="1">
      <alignment horizontal="center"/>
    </xf>
    <xf numFmtId="170" fontId="2" fillId="0" borderId="1" xfId="5" applyFont="1" applyBorder="1" applyAlignment="1"/>
    <xf numFmtId="170" fontId="2" fillId="0" borderId="0" xfId="5" applyFont="1" applyAlignment="1"/>
    <xf numFmtId="170" fontId="5" fillId="0" borderId="1" xfId="5" applyFont="1" applyBorder="1" applyAlignment="1"/>
    <xf numFmtId="170" fontId="5" fillId="0" borderId="0" xfId="5" applyFont="1" applyAlignment="1"/>
    <xf numFmtId="170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6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0" fontId="24" fillId="0" borderId="6" xfId="5" applyFont="1" applyBorder="1" applyAlignment="1"/>
    <xf numFmtId="0" fontId="24" fillId="0" borderId="3" xfId="5" applyNumberFormat="1" applyFont="1" applyBorder="1" applyAlignment="1"/>
    <xf numFmtId="170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0" fontId="3" fillId="0" borderId="6" xfId="5" applyFont="1" applyBorder="1" applyAlignment="1">
      <alignment horizontal="center"/>
    </xf>
    <xf numFmtId="170" fontId="3" fillId="0" borderId="6" xfId="5" applyFont="1" applyBorder="1" applyAlignment="1"/>
    <xf numFmtId="170" fontId="3" fillId="0" borderId="0" xfId="5" applyFont="1" applyAlignment="1">
      <alignment horizontal="center"/>
    </xf>
    <xf numFmtId="184" fontId="2" fillId="0" borderId="0" xfId="5" applyNumberFormat="1" applyFont="1" applyAlignment="1"/>
    <xf numFmtId="170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5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4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/>
    <xf numFmtId="0" fontId="16" fillId="2" borderId="0" xfId="6" applyNumberFormat="1" applyFont="1" applyFill="1" applyAlignment="1"/>
    <xf numFmtId="170" fontId="3" fillId="2" borderId="3" xfId="6" applyNumberFormat="1" applyFont="1" applyFill="1" applyBorder="1" applyAlignment="1"/>
    <xf numFmtId="174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5" fontId="3" fillId="2" borderId="0" xfId="6" applyNumberFormat="1" applyFont="1" applyFill="1" applyAlignment="1"/>
    <xf numFmtId="170" fontId="4" fillId="2" borderId="3" xfId="6" applyNumberFormat="1" applyFont="1" applyFill="1" applyBorder="1" applyAlignment="1"/>
    <xf numFmtId="170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4" applyNumberFormat="1" applyFont="1" applyAlignment="1"/>
    <xf numFmtId="0" fontId="3" fillId="0" borderId="0" xfId="14" applyAlignment="1"/>
    <xf numFmtId="0" fontId="2" fillId="0" borderId="0" xfId="14" applyNumberFormat="1" applyFont="1" applyAlignment="1">
      <alignment horizontal="center"/>
    </xf>
    <xf numFmtId="0" fontId="2" fillId="0" borderId="2" xfId="14" applyNumberFormat="1" applyFont="1" applyBorder="1" applyAlignment="1"/>
    <xf numFmtId="0" fontId="3" fillId="0" borderId="3" xfId="14" applyNumberFormat="1" applyBorder="1"/>
    <xf numFmtId="15" fontId="3" fillId="0" borderId="0" xfId="14" applyNumberFormat="1" applyFont="1" applyAlignment="1">
      <alignment horizontal="center"/>
    </xf>
    <xf numFmtId="0" fontId="2" fillId="0" borderId="6" xfId="14" applyNumberFormat="1" applyFont="1" applyBorder="1" applyAlignment="1"/>
    <xf numFmtId="0" fontId="22" fillId="0" borderId="0" xfId="14" applyNumberFormat="1" applyFont="1" applyAlignment="1"/>
    <xf numFmtId="164" fontId="3" fillId="0" borderId="0" xfId="14" applyNumberFormat="1" applyFont="1" applyAlignment="1">
      <alignment horizontal="center"/>
    </xf>
    <xf numFmtId="0" fontId="3" fillId="0" borderId="0" xfId="14" applyFont="1" applyAlignment="1"/>
    <xf numFmtId="0" fontId="3" fillId="3" borderId="0" xfId="14" applyNumberFormat="1" applyFont="1" applyFill="1" applyAlignment="1"/>
    <xf numFmtId="0" fontId="2" fillId="0" borderId="0" xfId="14" applyNumberFormat="1" applyFont="1" applyAlignment="1"/>
    <xf numFmtId="0" fontId="3" fillId="0" borderId="0" xfId="14" applyNumberFormat="1" applyFont="1" applyAlignment="1"/>
    <xf numFmtId="0" fontId="5" fillId="0" borderId="0" xfId="14" applyNumberFormat="1" applyFont="1" applyAlignment="1"/>
    <xf numFmtId="0" fontId="5" fillId="2" borderId="0" xfId="14" applyNumberFormat="1" applyFont="1" applyFill="1" applyAlignment="1"/>
    <xf numFmtId="0" fontId="3" fillId="2" borderId="0" xfId="14" applyNumberFormat="1" applyFont="1" applyFill="1" applyAlignment="1"/>
    <xf numFmtId="0" fontId="16" fillId="2" borderId="0" xfId="14" applyNumberFormat="1" applyFont="1" applyFill="1" applyAlignment="1">
      <alignment horizontal="right"/>
    </xf>
    <xf numFmtId="0" fontId="16" fillId="2" borderId="0" xfId="14" applyNumberFormat="1" applyFont="1" applyFill="1" applyAlignment="1">
      <alignment horizontal="center"/>
    </xf>
    <xf numFmtId="0" fontId="3" fillId="2" borderId="0" xfId="14" applyNumberFormat="1" applyFont="1" applyFill="1" applyAlignment="1">
      <alignment horizontal="center"/>
    </xf>
    <xf numFmtId="0" fontId="7" fillId="2" borderId="0" xfId="14" applyNumberFormat="1" applyFont="1" applyFill="1" applyAlignment="1">
      <alignment horizontal="right"/>
    </xf>
    <xf numFmtId="0" fontId="7" fillId="2" borderId="0" xfId="14" applyNumberFormat="1" applyFont="1" applyFill="1" applyAlignment="1">
      <alignment horizontal="center"/>
    </xf>
    <xf numFmtId="0" fontId="16" fillId="0" borderId="0" xfId="14" applyNumberFormat="1" applyFont="1" applyAlignment="1"/>
    <xf numFmtId="169" fontId="3" fillId="2" borderId="0" xfId="14" applyNumberFormat="1" applyFont="1" applyFill="1" applyAlignment="1">
      <alignment horizontal="center"/>
    </xf>
    <xf numFmtId="174" fontId="3" fillId="2" borderId="0" xfId="14" applyNumberFormat="1" applyFont="1" applyFill="1" applyAlignment="1">
      <alignment horizontal="center"/>
    </xf>
    <xf numFmtId="170" fontId="3" fillId="2" borderId="0" xfId="14" applyNumberFormat="1" applyFont="1" applyFill="1" applyAlignment="1"/>
    <xf numFmtId="165" fontId="3" fillId="2" borderId="0" xfId="14" applyNumberFormat="1" applyFont="1" applyFill="1" applyAlignment="1"/>
    <xf numFmtId="174" fontId="3" fillId="2" borderId="6" xfId="14" applyNumberFormat="1" applyFont="1" applyFill="1" applyBorder="1" applyAlignment="1">
      <alignment horizontal="center"/>
    </xf>
    <xf numFmtId="0" fontId="3" fillId="0" borderId="6" xfId="14" applyNumberFormat="1" applyFont="1" applyBorder="1" applyAlignment="1"/>
    <xf numFmtId="0" fontId="3" fillId="2" borderId="6" xfId="14" applyNumberFormat="1" applyFont="1" applyFill="1" applyBorder="1" applyAlignment="1"/>
    <xf numFmtId="0" fontId="2" fillId="0" borderId="3" xfId="14" applyNumberFormat="1" applyFont="1" applyBorder="1" applyAlignment="1"/>
    <xf numFmtId="170" fontId="5" fillId="2" borderId="0" xfId="14" applyNumberFormat="1" applyFont="1" applyFill="1" applyAlignment="1"/>
    <xf numFmtId="0" fontId="3" fillId="0" borderId="3" xfId="14" applyNumberFormat="1" applyFont="1" applyBorder="1" applyAlignment="1"/>
    <xf numFmtId="10" fontId="3" fillId="2" borderId="0" xfId="14" applyNumberFormat="1" applyFont="1" applyFill="1" applyAlignment="1">
      <alignment horizontal="center"/>
    </xf>
    <xf numFmtId="170" fontId="2" fillId="2" borderId="0" xfId="14" applyNumberFormat="1" applyFont="1" applyFill="1" applyAlignment="1"/>
    <xf numFmtId="174" fontId="3" fillId="0" borderId="6" xfId="14" applyNumberFormat="1" applyFont="1" applyBorder="1" applyAlignment="1"/>
    <xf numFmtId="10" fontId="3" fillId="0" borderId="6" xfId="14" applyNumberFormat="1" applyFont="1" applyBorder="1" applyAlignment="1"/>
    <xf numFmtId="0" fontId="3" fillId="0" borderId="6" xfId="14" applyFont="1" applyBorder="1" applyAlignment="1"/>
    <xf numFmtId="174" fontId="3" fillId="0" borderId="0" xfId="14" applyNumberFormat="1" applyFont="1" applyAlignment="1"/>
    <xf numFmtId="10" fontId="3" fillId="0" borderId="0" xfId="14" applyNumberFormat="1" applyFont="1" applyAlignment="1"/>
    <xf numFmtId="10" fontId="3" fillId="0" borderId="0" xfId="14" applyNumberFormat="1"/>
    <xf numFmtId="3" fontId="1" fillId="2" borderId="0" xfId="15" applyNumberFormat="1" applyFont="1" applyFill="1" applyAlignment="1"/>
    <xf numFmtId="0" fontId="3" fillId="0" borderId="0" xfId="15" applyNumberFormat="1" applyFont="1" applyAlignment="1"/>
    <xf numFmtId="3" fontId="3" fillId="2" borderId="0" xfId="15" applyNumberFormat="1" applyFont="1" applyFill="1" applyAlignment="1"/>
    <xf numFmtId="0" fontId="2" fillId="0" borderId="0" xfId="15" applyNumberFormat="1" applyFont="1" applyAlignment="1">
      <alignment horizontal="center"/>
    </xf>
    <xf numFmtId="0" fontId="18" fillId="0" borderId="0" xfId="15" applyNumberFormat="1" applyFont="1" applyAlignment="1" applyProtection="1">
      <protection locked="0"/>
    </xf>
    <xf numFmtId="3" fontId="2" fillId="2" borderId="2" xfId="15" applyNumberFormat="1" applyFont="1" applyFill="1" applyBorder="1" applyAlignment="1"/>
    <xf numFmtId="3" fontId="3" fillId="2" borderId="3" xfId="15" applyNumberFormat="1" applyFont="1" applyFill="1" applyBorder="1" applyAlignment="1"/>
    <xf numFmtId="15" fontId="3" fillId="2" borderId="0" xfId="15" applyNumberFormat="1" applyFont="1" applyFill="1" applyAlignment="1">
      <alignment horizontal="right"/>
    </xf>
    <xf numFmtId="0" fontId="3" fillId="3" borderId="0" xfId="15" applyNumberFormat="1" applyFont="1" applyFill="1" applyAlignment="1"/>
    <xf numFmtId="3" fontId="3" fillId="4" borderId="0" xfId="15" applyNumberFormat="1" applyFont="1" applyFill="1" applyAlignment="1"/>
    <xf numFmtId="164" fontId="3" fillId="4" borderId="0" xfId="15" applyNumberFormat="1" applyFont="1" applyFill="1" applyAlignment="1">
      <alignment horizontal="right"/>
    </xf>
    <xf numFmtId="164" fontId="3" fillId="2" borderId="0" xfId="15" applyNumberFormat="1" applyFont="1" applyFill="1" applyAlignment="1">
      <alignment horizontal="right"/>
    </xf>
    <xf numFmtId="0" fontId="2" fillId="2" borderId="0" xfId="15" applyNumberFormat="1" applyFont="1" applyFill="1" applyAlignment="1"/>
    <xf numFmtId="0" fontId="3" fillId="2" borderId="0" xfId="15" applyNumberFormat="1" applyFont="1" applyFill="1" applyAlignment="1"/>
    <xf numFmtId="0" fontId="5" fillId="2" borderId="0" xfId="15" applyNumberFormat="1" applyFont="1" applyFill="1" applyAlignment="1"/>
    <xf numFmtId="170" fontId="3" fillId="2" borderId="0" xfId="15" applyNumberFormat="1" applyFont="1" applyFill="1" applyAlignment="1"/>
    <xf numFmtId="169" fontId="26" fillId="2" borderId="0" xfId="15" applyNumberFormat="1" applyFont="1" applyFill="1" applyAlignment="1"/>
    <xf numFmtId="170" fontId="18" fillId="2" borderId="0" xfId="15" applyFill="1" applyAlignment="1"/>
    <xf numFmtId="0" fontId="4" fillId="2" borderId="0" xfId="15" applyNumberFormat="1" applyFont="1" applyFill="1" applyAlignment="1"/>
    <xf numFmtId="170" fontId="3" fillId="0" borderId="0" xfId="15" applyNumberFormat="1" applyFont="1" applyAlignment="1"/>
    <xf numFmtId="170" fontId="5" fillId="2" borderId="0" xfId="15" applyNumberFormat="1" applyFont="1" applyFill="1" applyAlignment="1"/>
    <xf numFmtId="169" fontId="3" fillId="0" borderId="0" xfId="15" applyNumberFormat="1" applyFont="1" applyAlignment="1"/>
    <xf numFmtId="0" fontId="2" fillId="0" borderId="0" xfId="15" applyNumberFormat="1" applyFont="1" applyAlignment="1"/>
    <xf numFmtId="170" fontId="5" fillId="0" borderId="0" xfId="15" applyNumberFormat="1" applyFont="1" applyAlignment="1"/>
    <xf numFmtId="0" fontId="3" fillId="0" borderId="2" xfId="15" applyNumberFormat="1" applyFont="1" applyBorder="1" applyAlignment="1"/>
    <xf numFmtId="0" fontId="3" fillId="2" borderId="6" xfId="15" applyNumberFormat="1" applyFont="1" applyFill="1" applyBorder="1" applyAlignment="1"/>
    <xf numFmtId="0" fontId="3" fillId="0" borderId="3" xfId="15" applyNumberFormat="1" applyFont="1" applyBorder="1" applyAlignment="1"/>
    <xf numFmtId="0" fontId="2" fillId="2" borderId="3" xfId="15" applyNumberFormat="1" applyFont="1" applyFill="1" applyBorder="1" applyAlignment="1"/>
    <xf numFmtId="0" fontId="6" fillId="2" borderId="6" xfId="15" applyNumberFormat="1" applyFont="1" applyFill="1" applyBorder="1" applyAlignment="1"/>
    <xf numFmtId="0" fontId="3" fillId="0" borderId="6" xfId="15" applyNumberFormat="1" applyFont="1" applyBorder="1" applyAlignment="1"/>
    <xf numFmtId="0" fontId="2" fillId="0" borderId="0" xfId="11" applyNumberFormat="1" applyFont="1" applyAlignment="1">
      <alignment horizontal="center"/>
    </xf>
    <xf numFmtId="0" fontId="3" fillId="0" borderId="0" xfId="11" quotePrefix="1" applyAlignment="1"/>
    <xf numFmtId="170" fontId="27" fillId="2" borderId="0" xfId="10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8" fillId="0" borderId="0" xfId="5" applyNumberFormat="1" applyFont="1" applyAlignment="1"/>
    <xf numFmtId="0" fontId="29" fillId="0" borderId="0" xfId="5" applyNumberFormat="1" applyFont="1" applyAlignment="1"/>
    <xf numFmtId="0" fontId="3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alignment horizontal="center"/>
      <protection locked="0"/>
    </xf>
    <xf numFmtId="0" fontId="3" fillId="0" borderId="3" xfId="13" applyNumberFormat="1" applyFont="1" applyBorder="1" applyAlignment="1">
      <alignment horizontal="center"/>
    </xf>
    <xf numFmtId="15" fontId="3" fillId="2" borderId="0" xfId="13" applyNumberFormat="1" applyFont="1" applyFill="1" applyAlignment="1">
      <alignment horizontal="center"/>
    </xf>
    <xf numFmtId="0" fontId="3" fillId="3" borderId="0" xfId="13" applyNumberFormat="1" applyFont="1" applyFill="1" applyAlignment="1">
      <alignment horizontal="center"/>
    </xf>
    <xf numFmtId="0" fontId="3" fillId="0" borderId="0" xfId="13" applyNumberFormat="1" applyFont="1" applyAlignment="1">
      <alignment horizontal="center"/>
    </xf>
    <xf numFmtId="0" fontId="5" fillId="2" borderId="0" xfId="13" applyNumberFormat="1" applyFont="1" applyFill="1" applyAlignment="1">
      <alignment horizontal="center"/>
    </xf>
    <xf numFmtId="168" fontId="3" fillId="2" borderId="0" xfId="13" applyNumberFormat="1" applyFont="1" applyFill="1" applyAlignment="1">
      <alignment horizontal="center"/>
    </xf>
    <xf numFmtId="3" fontId="3" fillId="0" borderId="0" xfId="13" applyFont="1" applyAlignment="1">
      <alignment horizontal="center"/>
    </xf>
    <xf numFmtId="10" fontId="3" fillId="0" borderId="0" xfId="13" applyNumberFormat="1" applyFont="1" applyAlignment="1">
      <alignment horizontal="center"/>
    </xf>
    <xf numFmtId="165" fontId="3" fillId="2" borderId="0" xfId="13" applyNumberFormat="1" applyFont="1" applyFill="1" applyAlignment="1" applyProtection="1">
      <alignment horizontal="center"/>
      <protection locked="0"/>
    </xf>
    <xf numFmtId="165" fontId="3" fillId="2" borderId="0" xfId="13" applyNumberFormat="1" applyFont="1" applyFill="1" applyAlignment="1">
      <alignment horizontal="center"/>
    </xf>
    <xf numFmtId="10" fontId="3" fillId="2" borderId="0" xfId="13" applyNumberFormat="1" applyFont="1" applyFill="1" applyAlignment="1">
      <alignment horizontal="center"/>
    </xf>
    <xf numFmtId="3" fontId="18" fillId="2" borderId="0" xfId="13" applyFill="1" applyAlignment="1">
      <alignment horizontal="center"/>
    </xf>
    <xf numFmtId="3" fontId="3" fillId="2" borderId="0" xfId="13" applyFont="1" applyFill="1" applyAlignment="1">
      <alignment horizontal="center"/>
    </xf>
    <xf numFmtId="0" fontId="19" fillId="2" borderId="0" xfId="13" applyNumberFormat="1" applyFont="1" applyFill="1" applyAlignment="1">
      <alignment horizontal="center"/>
    </xf>
    <xf numFmtId="3" fontId="3" fillId="2" borderId="6" xfId="13" applyFont="1" applyFill="1" applyBorder="1" applyAlignment="1">
      <alignment horizontal="center"/>
    </xf>
    <xf numFmtId="0" fontId="3" fillId="2" borderId="3" xfId="13" applyNumberFormat="1" applyFont="1" applyFill="1" applyBorder="1" applyAlignment="1">
      <alignment horizontal="center"/>
    </xf>
    <xf numFmtId="173" fontId="2" fillId="2" borderId="0" xfId="13" applyNumberFormat="1" applyFont="1" applyFill="1" applyAlignment="1" applyProtection="1">
      <alignment horizontal="center"/>
      <protection locked="0"/>
    </xf>
    <xf numFmtId="179" fontId="3" fillId="2" borderId="0" xfId="13" applyNumberFormat="1" applyFont="1" applyFill="1" applyAlignment="1">
      <alignment horizontal="center"/>
    </xf>
    <xf numFmtId="166" fontId="4" fillId="2" borderId="0" xfId="13" applyNumberFormat="1" applyFont="1" applyFill="1" applyAlignment="1">
      <alignment horizontal="center"/>
    </xf>
    <xf numFmtId="166" fontId="4" fillId="0" borderId="0" xfId="13" applyNumberFormat="1" applyFont="1" applyAlignment="1">
      <alignment horizontal="center"/>
    </xf>
    <xf numFmtId="170" fontId="2" fillId="2" borderId="0" xfId="13" applyNumberFormat="1" applyFont="1" applyFill="1" applyAlignment="1" applyProtection="1">
      <alignment horizontal="center"/>
      <protection locked="0"/>
    </xf>
    <xf numFmtId="170" fontId="2" fillId="2" borderId="0" xfId="13" applyNumberFormat="1" applyFont="1" applyFill="1" applyAlignment="1">
      <alignment horizontal="center"/>
    </xf>
    <xf numFmtId="166" fontId="3" fillId="0" borderId="0" xfId="13" applyNumberFormat="1" applyFont="1" applyAlignment="1">
      <alignment horizontal="center"/>
    </xf>
    <xf numFmtId="3" fontId="4" fillId="0" borderId="0" xfId="13" applyFont="1" applyAlignment="1">
      <alignment horizontal="center"/>
    </xf>
    <xf numFmtId="170" fontId="2" fillId="0" borderId="0" xfId="13" applyNumberFormat="1" applyFont="1" applyAlignment="1">
      <alignment horizontal="center"/>
    </xf>
    <xf numFmtId="170" fontId="3" fillId="0" borderId="0" xfId="13" applyNumberFormat="1" applyFont="1" applyAlignment="1">
      <alignment horizontal="center"/>
    </xf>
    <xf numFmtId="175" fontId="3" fillId="0" borderId="0" xfId="13" applyNumberFormat="1" applyFont="1" applyAlignment="1">
      <alignment horizontal="center"/>
    </xf>
    <xf numFmtId="170" fontId="4" fillId="0" borderId="0" xfId="13" applyNumberFormat="1" applyFont="1" applyAlignment="1">
      <alignment horizontal="center"/>
    </xf>
    <xf numFmtId="170" fontId="3" fillId="2" borderId="6" xfId="13" applyNumberFormat="1" applyFont="1" applyFill="1" applyBorder="1" applyAlignment="1">
      <alignment horizontal="center"/>
    </xf>
    <xf numFmtId="2" fontId="3" fillId="0" borderId="6" xfId="13" applyNumberFormat="1" applyFont="1" applyBorder="1" applyAlignment="1">
      <alignment horizontal="center"/>
    </xf>
    <xf numFmtId="2" fontId="3" fillId="0" borderId="0" xfId="13" applyNumberFormat="1" applyFont="1" applyAlignment="1">
      <alignment horizontal="center"/>
    </xf>
    <xf numFmtId="178" fontId="3" fillId="0" borderId="6" xfId="13" applyNumberFormat="1" applyFont="1" applyBorder="1" applyAlignment="1">
      <alignment horizontal="center"/>
    </xf>
    <xf numFmtId="178" fontId="3" fillId="0" borderId="0" xfId="13" applyNumberFormat="1" applyFont="1" applyAlignment="1">
      <alignment horizontal="center"/>
    </xf>
    <xf numFmtId="178" fontId="4" fillId="0" borderId="0" xfId="13" applyNumberFormat="1" applyFont="1" applyAlignment="1">
      <alignment horizontal="center"/>
    </xf>
    <xf numFmtId="0" fontId="3" fillId="0" borderId="6" xfId="13" applyNumberFormat="1" applyFont="1" applyBorder="1" applyAlignment="1">
      <alignment horizontal="center"/>
    </xf>
    <xf numFmtId="0" fontId="3" fillId="2" borderId="6" xfId="13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 applyProtection="1">
      <alignment horizontal="center"/>
      <protection locked="0"/>
    </xf>
    <xf numFmtId="170" fontId="2" fillId="0" borderId="0" xfId="5" applyFont="1" applyAlignment="1">
      <alignment horizontal="center"/>
    </xf>
    <xf numFmtId="170" fontId="3" fillId="0" borderId="0" xfId="5" applyNumberFormat="1" applyFont="1" applyAlignment="1"/>
    <xf numFmtId="170" fontId="30" fillId="2" borderId="0" xfId="3" applyNumberFormat="1" applyFont="1" applyFill="1" applyAlignment="1" applyProtection="1">
      <protection locked="0"/>
    </xf>
    <xf numFmtId="170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4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0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0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0" fontId="2" fillId="2" borderId="8" xfId="6" applyNumberFormat="1" applyFont="1" applyFill="1" applyBorder="1" applyAlignment="1"/>
    <xf numFmtId="3" fontId="1" fillId="0" borderId="0" xfId="14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6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5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0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0" fontId="3" fillId="0" borderId="0" xfId="8" applyFont="1" applyBorder="1" applyAlignment="1"/>
    <xf numFmtId="0" fontId="3" fillId="0" borderId="12" xfId="8" applyNumberFormat="1" applyFont="1" applyBorder="1" applyAlignment="1"/>
    <xf numFmtId="170" fontId="4" fillId="0" borderId="0" xfId="8" applyFont="1" applyBorder="1" applyAlignment="1"/>
    <xf numFmtId="170" fontId="3" fillId="0" borderId="13" xfId="8" applyFont="1" applyBorder="1" applyAlignment="1"/>
    <xf numFmtId="170" fontId="4" fillId="0" borderId="13" xfId="8" applyFont="1" applyBorder="1" applyAlignment="1"/>
    <xf numFmtId="170" fontId="3" fillId="2" borderId="0" xfId="8" applyFont="1" applyFill="1" applyBorder="1" applyAlignment="1"/>
    <xf numFmtId="170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9" fontId="3" fillId="2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69" fontId="3" fillId="2" borderId="13" xfId="0" applyNumberFormat="1" applyFont="1" applyFill="1" applyBorder="1" applyAlignment="1" applyProtection="1">
      <protection locked="0"/>
    </xf>
    <xf numFmtId="166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5" fontId="3" fillId="0" borderId="0" xfId="0" applyNumberFormat="1" applyFont="1" applyAlignment="1">
      <alignment horizontal="center"/>
    </xf>
    <xf numFmtId="175" fontId="31" fillId="2" borderId="1" xfId="0" applyNumberFormat="1" applyFont="1" applyFill="1" applyBorder="1" applyAlignment="1" applyProtection="1">
      <alignment horizontal="center"/>
      <protection locked="0"/>
    </xf>
    <xf numFmtId="181" fontId="3" fillId="2" borderId="0" xfId="7" applyNumberFormat="1" applyFont="1" applyFill="1" applyBorder="1" applyAlignment="1"/>
    <xf numFmtId="181" fontId="3" fillId="0" borderId="9" xfId="7" applyNumberFormat="1" applyFont="1" applyBorder="1" applyAlignment="1"/>
    <xf numFmtId="181" fontId="3" fillId="0" borderId="10" xfId="7" applyNumberFormat="1" applyFont="1" applyBorder="1" applyAlignment="1"/>
    <xf numFmtId="181" fontId="3" fillId="0" borderId="11" xfId="7" applyNumberFormat="1" applyFont="1" applyBorder="1" applyAlignment="1"/>
    <xf numFmtId="170" fontId="3" fillId="2" borderId="12" xfId="7" applyFont="1" applyFill="1" applyBorder="1" applyAlignment="1"/>
    <xf numFmtId="170" fontId="3" fillId="2" borderId="0" xfId="7" applyFont="1" applyFill="1" applyBorder="1" applyAlignment="1"/>
    <xf numFmtId="170" fontId="3" fillId="2" borderId="13" xfId="7" applyFont="1" applyFill="1" applyBorder="1" applyAlignment="1"/>
    <xf numFmtId="170" fontId="27" fillId="2" borderId="12" xfId="7" applyFont="1" applyFill="1" applyBorder="1" applyAlignment="1"/>
    <xf numFmtId="170" fontId="27" fillId="2" borderId="0" xfId="7" applyFont="1" applyFill="1" applyBorder="1" applyAlignment="1"/>
    <xf numFmtId="170" fontId="27" fillId="2" borderId="13" xfId="7" applyFont="1" applyFill="1" applyBorder="1" applyAlignment="1"/>
    <xf numFmtId="170" fontId="3" fillId="0" borderId="12" xfId="7" applyFont="1" applyBorder="1" applyAlignment="1"/>
    <xf numFmtId="170" fontId="3" fillId="0" borderId="0" xfId="7" applyFont="1" applyBorder="1" applyAlignment="1"/>
    <xf numFmtId="9" fontId="3" fillId="0" borderId="0" xfId="7" applyNumberFormat="1" applyFont="1" applyBorder="1" applyAlignment="1"/>
    <xf numFmtId="170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0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0" fontId="4" fillId="2" borderId="0" xfId="7" applyFont="1" applyFill="1" applyBorder="1" applyAlignment="1"/>
    <xf numFmtId="170" fontId="4" fillId="2" borderId="13" xfId="7" applyFont="1" applyFill="1" applyBorder="1" applyAlignment="1"/>
    <xf numFmtId="170" fontId="18" fillId="2" borderId="13" xfId="7" applyFill="1" applyBorder="1" applyAlignment="1"/>
    <xf numFmtId="170" fontId="5" fillId="2" borderId="14" xfId="7" applyFont="1" applyFill="1" applyBorder="1" applyAlignment="1"/>
    <xf numFmtId="170" fontId="5" fillId="2" borderId="15" xfId="7" applyFont="1" applyFill="1" applyBorder="1" applyAlignment="1"/>
    <xf numFmtId="170" fontId="5" fillId="2" borderId="16" xfId="7" applyFont="1" applyFill="1" applyBorder="1" applyAlignment="1"/>
    <xf numFmtId="166" fontId="3" fillId="0" borderId="13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70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0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8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0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2" fillId="0" borderId="0" xfId="0" applyFont="1"/>
    <xf numFmtId="0" fontId="29" fillId="0" borderId="0" xfId="0" applyFont="1"/>
    <xf numFmtId="0" fontId="33" fillId="0" borderId="0" xfId="0" applyFont="1"/>
    <xf numFmtId="0" fontId="29" fillId="0" borderId="15" xfId="0" applyFont="1" applyBorder="1"/>
    <xf numFmtId="0" fontId="32" fillId="0" borderId="20" xfId="0" applyFont="1" applyBorder="1"/>
    <xf numFmtId="1" fontId="32" fillId="0" borderId="20" xfId="0" applyNumberFormat="1" applyFont="1" applyBorder="1"/>
    <xf numFmtId="0" fontId="32" fillId="0" borderId="0" xfId="0" applyFont="1" applyBorder="1"/>
    <xf numFmtId="17" fontId="32" fillId="0" borderId="21" xfId="0" applyNumberFormat="1" applyFont="1" applyBorder="1"/>
    <xf numFmtId="17" fontId="32" fillId="0" borderId="0" xfId="0" applyNumberFormat="1" applyFont="1" applyBorder="1"/>
    <xf numFmtId="0" fontId="33" fillId="0" borderId="0" xfId="0" applyFont="1" applyBorder="1"/>
    <xf numFmtId="1" fontId="33" fillId="0" borderId="21" xfId="0" applyNumberFormat="1" applyFont="1" applyBorder="1"/>
    <xf numFmtId="1" fontId="33" fillId="0" borderId="0" xfId="0" applyNumberFormat="1" applyFont="1" applyBorder="1"/>
    <xf numFmtId="1" fontId="33" fillId="0" borderId="21" xfId="0" applyNumberFormat="1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0" fontId="29" fillId="0" borderId="21" xfId="0" applyFont="1" applyBorder="1"/>
    <xf numFmtId="0" fontId="29" fillId="0" borderId="0" xfId="0" applyFont="1" applyBorder="1"/>
    <xf numFmtId="0" fontId="29" fillId="0" borderId="8" xfId="0" applyFont="1" applyBorder="1"/>
    <xf numFmtId="188" fontId="29" fillId="0" borderId="0" xfId="2" applyNumberFormat="1" applyFont="1"/>
    <xf numFmtId="9" fontId="29" fillId="0" borderId="0" xfId="16" applyFont="1"/>
    <xf numFmtId="6" fontId="29" fillId="0" borderId="0" xfId="0" applyNumberFormat="1" applyFont="1"/>
    <xf numFmtId="188" fontId="29" fillId="0" borderId="0" xfId="0" applyNumberFormat="1" applyFont="1"/>
    <xf numFmtId="44" fontId="29" fillId="0" borderId="0" xfId="2" applyFont="1"/>
    <xf numFmtId="44" fontId="29" fillId="0" borderId="0" xfId="0" applyNumberFormat="1" applyFont="1"/>
    <xf numFmtId="188" fontId="29" fillId="0" borderId="21" xfId="2" applyNumberFormat="1" applyFont="1" applyBorder="1"/>
    <xf numFmtId="188" fontId="29" fillId="0" borderId="0" xfId="2" applyNumberFormat="1" applyFont="1" applyBorder="1"/>
    <xf numFmtId="188" fontId="34" fillId="0" borderId="21" xfId="1" applyNumberFormat="1" applyFont="1" applyBorder="1"/>
    <xf numFmtId="188" fontId="34" fillId="0" borderId="0" xfId="1" applyNumberFormat="1" applyFont="1"/>
    <xf numFmtId="188" fontId="34" fillId="0" borderId="0" xfId="1" applyNumberFormat="1" applyFont="1" applyBorder="1"/>
    <xf numFmtId="188" fontId="29" fillId="0" borderId="0" xfId="1" applyNumberFormat="1" applyFont="1"/>
    <xf numFmtId="188" fontId="29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6" applyNumberFormat="1" applyFont="1" applyAlignment="1"/>
    <xf numFmtId="4" fontId="3" fillId="0" borderId="0" xfId="0" applyNumberFormat="1" applyFont="1" applyAlignment="1"/>
    <xf numFmtId="3" fontId="3" fillId="0" borderId="1" xfId="12" applyNumberFormat="1" applyBorder="1"/>
    <xf numFmtId="3" fontId="4" fillId="0" borderId="0" xfId="12" applyNumberFormat="1" applyFont="1" applyAlignment="1"/>
    <xf numFmtId="3" fontId="4" fillId="0" borderId="1" xfId="12" applyNumberFormat="1" applyFont="1" applyBorder="1" applyAlignment="1"/>
    <xf numFmtId="188" fontId="3" fillId="0" borderId="0" xfId="2" applyNumberFormat="1" applyFont="1" applyAlignment="1"/>
    <xf numFmtId="207" fontId="3" fillId="0" borderId="0" xfId="0" applyNumberFormat="1" applyFont="1" applyAlignment="1"/>
    <xf numFmtId="170" fontId="3" fillId="0" borderId="0" xfId="8" applyNumberFormat="1" applyFont="1" applyBorder="1" applyAlignment="1"/>
    <xf numFmtId="210" fontId="29" fillId="0" borderId="0" xfId="1" applyNumberFormat="1" applyFont="1"/>
    <xf numFmtId="210" fontId="29" fillId="0" borderId="0" xfId="0" applyNumberFormat="1" applyFont="1"/>
    <xf numFmtId="10" fontId="29" fillId="0" borderId="0" xfId="16" applyNumberFormat="1" applyFont="1"/>
    <xf numFmtId="43" fontId="29" fillId="0" borderId="0" xfId="0" applyNumberFormat="1" applyFont="1"/>
    <xf numFmtId="170" fontId="3" fillId="0" borderId="5" xfId="3" applyNumberFormat="1" applyBorder="1"/>
    <xf numFmtId="211" fontId="29" fillId="0" borderId="0" xfId="0" applyNumberFormat="1" applyFont="1"/>
    <xf numFmtId="0" fontId="3" fillId="0" borderId="0" xfId="0" applyNumberFormat="1" applyFont="1" applyAlignment="1">
      <alignment horizontal="center" wrapText="1"/>
    </xf>
    <xf numFmtId="8" fontId="3" fillId="0" borderId="0" xfId="16" applyNumberFormat="1" applyFont="1" applyAlignment="1"/>
    <xf numFmtId="10" fontId="36" fillId="2" borderId="0" xfId="0" applyNumberFormat="1" applyFont="1" applyFill="1" applyAlignment="1" applyProtection="1">
      <alignment horizontal="center"/>
      <protection locked="0"/>
    </xf>
    <xf numFmtId="0" fontId="32" fillId="0" borderId="0" xfId="9" applyFont="1" applyAlignment="1">
      <alignment horizontal="center"/>
    </xf>
    <xf numFmtId="0" fontId="33" fillId="0" borderId="0" xfId="9" applyFont="1"/>
    <xf numFmtId="0" fontId="37" fillId="0" borderId="0" xfId="9" applyFont="1" applyAlignment="1">
      <alignment horizontal="center"/>
    </xf>
    <xf numFmtId="0" fontId="33" fillId="0" borderId="0" xfId="9" applyFont="1" applyAlignment="1">
      <alignment horizontal="center"/>
    </xf>
    <xf numFmtId="169" fontId="33" fillId="0" borderId="0" xfId="16" applyNumberFormat="1" applyFont="1"/>
    <xf numFmtId="169" fontId="33" fillId="0" borderId="0" xfId="16" applyNumberFormat="1" applyFont="1" applyAlignment="1"/>
    <xf numFmtId="10" fontId="33" fillId="0" borderId="0" xfId="16" applyNumberFormat="1" applyFont="1"/>
    <xf numFmtId="44" fontId="33" fillId="0" borderId="0" xfId="2" applyFont="1"/>
    <xf numFmtId="9" fontId="33" fillId="0" borderId="0" xfId="16" applyFont="1"/>
    <xf numFmtId="10" fontId="33" fillId="0" borderId="0" xfId="9" applyNumberFormat="1" applyFont="1"/>
    <xf numFmtId="188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44" fontId="3" fillId="0" borderId="0" xfId="2" applyFont="1" applyAlignment="1"/>
    <xf numFmtId="0" fontId="22" fillId="0" borderId="0" xfId="10" applyNumberFormat="1" applyFont="1" applyAlignment="1" applyProtection="1">
      <protection locked="0"/>
    </xf>
    <xf numFmtId="170" fontId="22" fillId="0" borderId="0" xfId="10" applyNumberFormat="1" applyFont="1" applyAlignment="1" applyProtection="1">
      <protection locked="0"/>
    </xf>
    <xf numFmtId="186" fontId="29" fillId="0" borderId="0" xfId="2" applyNumberFormat="1" applyFont="1"/>
    <xf numFmtId="186" fontId="29" fillId="0" borderId="0" xfId="0" applyNumberFormat="1" applyFont="1"/>
    <xf numFmtId="170" fontId="3" fillId="5" borderId="0" xfId="10" applyFont="1" applyFill="1" applyAlignment="1"/>
    <xf numFmtId="166" fontId="22" fillId="0" borderId="0" xfId="10" applyNumberFormat="1" applyFont="1" applyAlignment="1" applyProtection="1">
      <protection locked="0"/>
    </xf>
    <xf numFmtId="170" fontId="3" fillId="0" borderId="0" xfId="10" applyFont="1" applyFill="1" applyAlignment="1"/>
  </cellXfs>
  <cellStyles count="17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Fee Sensitivity Analysis" xfId="9"/>
    <cellStyle name="Normal_OandM" xfId="10"/>
    <cellStyle name="Normal_Spot" xfId="11"/>
    <cellStyle name="Normal_Stratus Report" xfId="12"/>
    <cellStyle name="Normal_Tariff" xfId="13"/>
    <cellStyle name="Normal_TAXDEPR 144A" xfId="14"/>
    <cellStyle name="Normal_TAXES" xfId="15"/>
    <cellStyle name="Percent" xfId="1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7681226083464398"/>
          <c:y val="3.6630167661714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23216929943901"/>
          <c:y val="0.227107039502631"/>
          <c:w val="0.61050832644843755"/>
          <c:h val="0.51282234726400544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0.20039999999999999</c:v>
                </c:pt>
                <c:pt idx="1">
                  <c:v>0.1973</c:v>
                </c:pt>
                <c:pt idx="2">
                  <c:v>0.1943</c:v>
                </c:pt>
                <c:pt idx="3">
                  <c:v>0.1913</c:v>
                </c:pt>
                <c:pt idx="4">
                  <c:v>0.1885</c:v>
                </c:pt>
                <c:pt idx="5">
                  <c:v>0.1857</c:v>
                </c:pt>
                <c:pt idx="6">
                  <c:v>0.183</c:v>
                </c:pt>
                <c:pt idx="7">
                  <c:v>0.1804</c:v>
                </c:pt>
                <c:pt idx="8">
                  <c:v>0.17780000000000001</c:v>
                </c:pt>
                <c:pt idx="9">
                  <c:v>0.17530000000000001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9-4FCA-B31C-311DC5EECD9A}"/>
            </c:ext>
          </c:extLst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0.19</c:v>
                </c:pt>
                <c:pt idx="2">
                  <c:v>0.187</c:v>
                </c:pt>
                <c:pt idx="3">
                  <c:v>0.18429999999999999</c:v>
                </c:pt>
                <c:pt idx="4">
                  <c:v>0.18160000000000001</c:v>
                </c:pt>
                <c:pt idx="5">
                  <c:v>0.1789</c:v>
                </c:pt>
                <c:pt idx="6">
                  <c:v>0.1764</c:v>
                </c:pt>
                <c:pt idx="7">
                  <c:v>0.1739</c:v>
                </c:pt>
                <c:pt idx="8">
                  <c:v>0.1714</c:v>
                </c:pt>
                <c:pt idx="9">
                  <c:v>0.16900000000000001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9-4FCA-B31C-311DC5EEC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160448"/>
        <c:axId val="1"/>
      </c:lineChart>
      <c:catAx>
        <c:axId val="170916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492823491323265"/>
              <c:y val="0.85714592328412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2.8985558525741844E-2"/>
              <c:y val="0.2197810059702880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09160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66806723432415"/>
          <c:y val="0.40293184427886147"/>
          <c:w val="0.19384092264089858"/>
          <c:h val="0.164835754477716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8219960426143285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32312684597044"/>
          <c:y val="0.22382710935227704"/>
          <c:w val="0.64398015512542794"/>
          <c:h val="0.48736548004124836"/>
        </c:manualLayout>
      </c:layout>
      <c:lineChart>
        <c:grouping val="standard"/>
        <c:varyColors val="0"/>
        <c:ser>
          <c:idx val="0"/>
          <c:order val="0"/>
          <c:tx>
            <c:strRef>
              <c:f>Fees!$I$31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Fees!$I$32:$I$45</c:f>
              <c:numCache>
                <c:formatCode>0.00%</c:formatCode>
                <c:ptCount val="14"/>
                <c:pt idx="0">
                  <c:v>0.185</c:v>
                </c:pt>
                <c:pt idx="1">
                  <c:v>0.18229999999999999</c:v>
                </c:pt>
                <c:pt idx="2">
                  <c:v>0.17710000000000001</c:v>
                </c:pt>
                <c:pt idx="3">
                  <c:v>0.17219999999999999</c:v>
                </c:pt>
                <c:pt idx="4">
                  <c:v>0.16750000000000001</c:v>
                </c:pt>
                <c:pt idx="5">
                  <c:v>0.16300000000000001</c:v>
                </c:pt>
                <c:pt idx="6">
                  <c:v>0.15870000000000001</c:v>
                </c:pt>
                <c:pt idx="7">
                  <c:v>0.1547</c:v>
                </c:pt>
                <c:pt idx="8">
                  <c:v>0.15079999999999999</c:v>
                </c:pt>
                <c:pt idx="9">
                  <c:v>0.14699999999999999</c:v>
                </c:pt>
                <c:pt idx="10">
                  <c:v>0.1434</c:v>
                </c:pt>
                <c:pt idx="11">
                  <c:v>0.14000000000000001</c:v>
                </c:pt>
                <c:pt idx="12">
                  <c:v>0.13669999999999999</c:v>
                </c:pt>
                <c:pt idx="13">
                  <c:v>0.13350000000000001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0-4414-90AB-51BC950D669B}"/>
            </c:ext>
          </c:extLst>
        </c:ser>
        <c:ser>
          <c:idx val="1"/>
          <c:order val="1"/>
          <c:tx>
            <c:strRef>
              <c:f>Fees!$J$31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Fees!$J$32:$J$45</c:f>
              <c:numCache>
                <c:formatCode>0.00%</c:formatCode>
                <c:ptCount val="14"/>
                <c:pt idx="0">
                  <c:v>0.1782</c:v>
                </c:pt>
                <c:pt idx="1">
                  <c:v>0.17560000000000001</c:v>
                </c:pt>
                <c:pt idx="2">
                  <c:v>0.17069999999999999</c:v>
                </c:pt>
                <c:pt idx="3">
                  <c:v>0.16600000000000001</c:v>
                </c:pt>
                <c:pt idx="4">
                  <c:v>0.1615</c:v>
                </c:pt>
                <c:pt idx="5">
                  <c:v>0.15720000000000001</c:v>
                </c:pt>
                <c:pt idx="6">
                  <c:v>0.15310000000000001</c:v>
                </c:pt>
                <c:pt idx="7">
                  <c:v>0.1492</c:v>
                </c:pt>
                <c:pt idx="8">
                  <c:v>0.14549999999999999</c:v>
                </c:pt>
                <c:pt idx="9">
                  <c:v>0.1419</c:v>
                </c:pt>
                <c:pt idx="10">
                  <c:v>0.1384</c:v>
                </c:pt>
                <c:pt idx="11">
                  <c:v>0.1351</c:v>
                </c:pt>
                <c:pt idx="12">
                  <c:v>0.13189999999999999</c:v>
                </c:pt>
                <c:pt idx="13">
                  <c:v>0.12889999999999999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0-4414-90AB-51BC950D6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670944"/>
        <c:axId val="1"/>
      </c:lineChart>
      <c:catAx>
        <c:axId val="171267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 (MM)</a:t>
                </a:r>
              </a:p>
            </c:rich>
          </c:tx>
          <c:layout>
            <c:manualLayout>
              <c:xMode val="edge"/>
              <c:yMode val="edge"/>
              <c:x val="0.38045440058900626"/>
              <c:y val="0.8592072907393860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</a:t>
                </a:r>
              </a:p>
            </c:rich>
          </c:tx>
          <c:layout>
            <c:manualLayout>
              <c:xMode val="edge"/>
              <c:yMode val="edge"/>
              <c:x val="2.7923258758826147E-2"/>
              <c:y val="0.2166068800183326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12670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50052236809145"/>
          <c:y val="0.39350249869997089"/>
          <c:w val="0.16753955255295688"/>
          <c:h val="0.148014701345860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7</xdr:row>
      <xdr:rowOff>76200</xdr:rowOff>
    </xdr:from>
    <xdr:to>
      <xdr:col>18</xdr:col>
      <xdr:colOff>295275</xdr:colOff>
      <xdr:row>23</xdr:row>
      <xdr:rowOff>85725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083D5002-64EB-41CE-8439-3BCBE1D42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29</xdr:row>
      <xdr:rowOff>152400</xdr:rowOff>
    </xdr:from>
    <xdr:to>
      <xdr:col>18</xdr:col>
      <xdr:colOff>504825</xdr:colOff>
      <xdr:row>46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568D716E-8595-AF38-955A-48E9903B0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topLeftCell="B21" zoomScale="75" zoomScaleNormal="75" workbookViewId="0">
      <selection activeCell="H31" sqref="H31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828">
        <v>6.5000000000000002E-2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828">
        <v>1.4999999999999999E-2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0.08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>
        <f ca="1">IF(R29="Not Correct",ROUND(-'144A IDC'!Y103+S29*1000,2)," ")</f>
        <v>2036.17</v>
      </c>
      <c r="R29" s="645" t="str">
        <f ca="1">IF(ROUND('144A IDC'!Y103,2)=S29*1000,"Correct","Not Correct")</f>
        <v>Not 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0.52070292669298401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OandM!C39*100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6.5000000000000002E-2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1.4999999999999999E-2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0.08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9607.2300000000014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topLeftCell="K43" zoomScale="75" zoomScaleNormal="75" workbookViewId="0">
      <selection activeCell="E56" sqref="E56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2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3.25">
      <c r="A2" s="95" t="s">
        <v>136</v>
      </c>
      <c r="B2" s="96"/>
      <c r="C2" s="96"/>
      <c r="D2" s="96"/>
      <c r="E2" s="96"/>
      <c r="M2"/>
    </row>
    <row r="3" spans="1:21" ht="7.5" customHeight="1">
      <c r="A3" s="98"/>
      <c r="B3" s="98"/>
      <c r="C3" s="99"/>
      <c r="D3" s="99"/>
      <c r="E3" s="100"/>
      <c r="T3" s="101"/>
    </row>
    <row r="4" spans="1:21" ht="16.5" thickBot="1">
      <c r="A4" s="102"/>
      <c r="B4" s="102"/>
      <c r="C4" s="51"/>
      <c r="D4" s="51"/>
      <c r="T4" s="101"/>
    </row>
    <row r="5" spans="1:21" ht="17.25" thickTop="1" thickBot="1">
      <c r="A5" s="17"/>
      <c r="B5" s="93"/>
      <c r="C5" s="103"/>
      <c r="D5" s="103"/>
      <c r="E5" s="104"/>
      <c r="F5" s="27"/>
      <c r="T5" s="101"/>
    </row>
    <row r="6" spans="1:2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2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2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2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2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2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2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2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2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2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2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2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2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2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2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2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2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2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2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2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2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2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2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2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2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2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2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9.6072300000000013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21.045849009690389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3.3229778392593738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H63" s="97" t="s">
        <v>477</v>
      </c>
      <c r="J63" t="s">
        <v>478</v>
      </c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172.84327662914336</v>
      </c>
      <c r="F64" s="27"/>
      <c r="G64" s="113"/>
      <c r="H64" s="840">
        <v>310</v>
      </c>
      <c r="I64" s="113"/>
      <c r="J64" s="841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C8" sqref="C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29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29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4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29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4">
        <f t="shared" si="4"/>
        <v>433.76191799999998</v>
      </c>
      <c r="W19" s="164"/>
    </row>
    <row r="20" spans="1:29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4">
        <f t="shared" si="5"/>
        <v>433.76191799999998</v>
      </c>
      <c r="W20" s="164"/>
    </row>
    <row r="21" spans="1:29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4">
        <f t="shared" si="6"/>
        <v>7123.9473900000003</v>
      </c>
      <c r="W21" s="164"/>
    </row>
    <row r="22" spans="1:29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4">
        <f t="shared" si="7"/>
        <v>16077.378430999999</v>
      </c>
      <c r="W22" s="164"/>
    </row>
    <row r="23" spans="1:29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4">
        <f t="shared" si="8"/>
        <v>32016.596841999999</v>
      </c>
      <c r="W23" s="164"/>
    </row>
    <row r="24" spans="1:29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4">
        <f t="shared" si="9"/>
        <v>50873.456463000002</v>
      </c>
      <c r="W24" s="164"/>
    </row>
    <row r="25" spans="1:29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4">
        <f t="shared" si="10"/>
        <v>33915.637642000002</v>
      </c>
      <c r="W25" s="164"/>
    </row>
    <row r="26" spans="1:29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4">
        <f t="shared" si="11"/>
        <v>19650.129193000001</v>
      </c>
      <c r="W26" s="164"/>
    </row>
    <row r="27" spans="1:29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4">
        <f t="shared" si="12"/>
        <v>2934.7824930000002</v>
      </c>
      <c r="W27" s="164"/>
    </row>
    <row r="28" spans="1:29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4">
        <f t="shared" si="13"/>
        <v>7597.2989230000003</v>
      </c>
      <c r="W28" s="164"/>
    </row>
    <row r="29" spans="1:29">
      <c r="A29" s="165" t="s">
        <v>201</v>
      </c>
      <c r="B29" s="815">
        <f t="shared" ref="B29:V29" si="14">IF($A$15=1,B92,B155)</f>
        <v>2651.3831030000001</v>
      </c>
      <c r="C29" s="815">
        <f t="shared" si="14"/>
        <v>8856.3617169999998</v>
      </c>
      <c r="D29" s="815">
        <f t="shared" si="14"/>
        <v>8606.5609839999997</v>
      </c>
      <c r="E29" s="815">
        <f t="shared" si="14"/>
        <v>8453.9060460000001</v>
      </c>
      <c r="F29" s="815">
        <f t="shared" si="14"/>
        <v>8665.568475</v>
      </c>
      <c r="G29" s="815">
        <f t="shared" si="14"/>
        <v>8451.6999159999996</v>
      </c>
      <c r="H29" s="815">
        <f t="shared" si="14"/>
        <v>8224.9215850000001</v>
      </c>
      <c r="I29" s="815">
        <f t="shared" si="14"/>
        <v>8204.105313</v>
      </c>
      <c r="J29" s="815">
        <f t="shared" si="14"/>
        <v>8169.4097019999999</v>
      </c>
      <c r="K29" s="815">
        <f t="shared" si="14"/>
        <v>8345.1952600000004</v>
      </c>
      <c r="L29" s="815">
        <f t="shared" si="14"/>
        <v>8534.8587889999999</v>
      </c>
      <c r="M29" s="815">
        <f t="shared" si="14"/>
        <v>8316.7952330000007</v>
      </c>
      <c r="N29" s="815">
        <f t="shared" si="14"/>
        <v>8127.7771590000002</v>
      </c>
      <c r="O29" s="815">
        <f t="shared" si="14"/>
        <v>8106.959519</v>
      </c>
      <c r="P29" s="815">
        <f t="shared" si="14"/>
        <v>8093.0815490000005</v>
      </c>
      <c r="Q29" s="815">
        <f t="shared" si="14"/>
        <v>7625.7003510000004</v>
      </c>
      <c r="R29" s="815">
        <f t="shared" si="14"/>
        <v>7625.7003510000004</v>
      </c>
      <c r="S29" s="815">
        <f t="shared" si="14"/>
        <v>7452.3889799999997</v>
      </c>
      <c r="T29" s="815">
        <f t="shared" si="14"/>
        <v>7445.44931</v>
      </c>
      <c r="U29" s="815">
        <f t="shared" si="14"/>
        <v>7445.44931</v>
      </c>
      <c r="V29" s="816">
        <f t="shared" si="14"/>
        <v>7597.2989230000003</v>
      </c>
      <c r="W29" s="164"/>
    </row>
    <row r="30" spans="1:29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4">
        <f t="shared" si="15"/>
        <v>193539.67902899999</v>
      </c>
      <c r="W30" s="164"/>
    </row>
    <row r="31" spans="1:29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29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C18" sqref="C18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>C12*(C10)</f>
        <v>58546.735590269847</v>
      </c>
      <c r="D13" s="593">
        <f t="shared" ref="D13:V13" si="3">D12*(D10)</f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3"/>
  <sheetViews>
    <sheetView showOutlineSymbols="0" zoomScale="75" zoomScaleNormal="75" workbookViewId="0">
      <selection activeCell="B23" sqref="B23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22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22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22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22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22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22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22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22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22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22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22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22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22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22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2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22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22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22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22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22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22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22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22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22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22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22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22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22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22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27" sqref="F27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180"/>
  <sheetViews>
    <sheetView tabSelected="1" showOutlineSymbols="0" view="pageBreakPreview" zoomScaleNormal="75" workbookViewId="0">
      <selection activeCell="O37" sqref="O37"/>
    </sheetView>
  </sheetViews>
  <sheetFormatPr defaultColWidth="9.77734375" defaultRowHeight="15"/>
  <cols>
    <col min="1" max="1" width="21.77734375" style="255" customWidth="1"/>
    <col min="2" max="2" width="9.88671875" style="255" customWidth="1"/>
    <col min="3" max="14" width="9.77734375" style="255" customWidth="1"/>
    <col min="15" max="15" width="10.88671875" style="255" customWidth="1"/>
    <col min="16" max="16384" width="9.77734375" style="255"/>
  </cols>
  <sheetData>
    <row r="1" spans="1:22" ht="23.25">
      <c r="A1" s="254" t="str">
        <f ca="1">OandM!A1</f>
        <v>DELMARVA, VA</v>
      </c>
      <c r="Q1" s="256"/>
      <c r="R1" s="256"/>
    </row>
    <row r="2" spans="1:22" ht="15.75">
      <c r="A2" s="257" t="s">
        <v>257</v>
      </c>
      <c r="B2" s="258"/>
      <c r="Q2" s="259"/>
      <c r="R2" s="259"/>
    </row>
    <row r="3" spans="1:22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22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22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22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22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10" spans="1:22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22" ht="15.75">
      <c r="A11" s="267" t="str">
        <f>'ASSUM 1'!F31</f>
        <v xml:space="preserve">   Management Fee </v>
      </c>
      <c r="B11" s="267"/>
      <c r="C11" s="846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22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22" ht="15.75">
      <c r="A13" s="267" t="str">
        <f>'ASSUM 1'!F33</f>
        <v xml:space="preserve">   Variable Costs mills/kw</v>
      </c>
      <c r="B13" s="267"/>
      <c r="C13" s="846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22" ht="15.75">
      <c r="A14" s="267" t="str">
        <f>'ASSUM 1'!F34</f>
        <v xml:space="preserve">   Maintenance Reserve</v>
      </c>
      <c r="B14" s="267"/>
      <c r="C14" s="846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22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22" ht="15.75">
      <c r="A16" s="267" t="str">
        <f>'ASSUM 1'!F36</f>
        <v xml:space="preserve">   TPS Parts Co. </v>
      </c>
      <c r="B16" s="267"/>
      <c r="C16" s="846">
        <f ca="1">('ASSUM 1'!H36)*(1+'ASSUM 1'!I36)^(C$5-'ASSUM 1'!I27)*C$7/12*1000</f>
        <v>325.62555295992695</v>
      </c>
      <c r="D16" s="268">
        <f ca="1">('ASSUM 1'!H36)*(1+'ASSUM 1'!I36)^(D$5-'ASSUM 1'!I27)*D$7/12*1000</f>
        <v>558.21523364558902</v>
      </c>
      <c r="E16" s="268">
        <f ca="1">('ASSUM 1'!H36)*(1+'ASSUM 1'!I36)^(E$5-'ASSUM 1'!I27)*E$7/12*1000</f>
        <v>558.21523364558902</v>
      </c>
      <c r="F16" s="268">
        <f ca="1">('ASSUM 1'!H36)*(1+'ASSUM 1'!I36)^(F$5-'ASSUM 1'!I27)*F$7/12*1000</f>
        <v>558.21523364558902</v>
      </c>
      <c r="G16" s="268">
        <f ca="1">('ASSUM 1'!H36)*(1+'ASSUM 1'!I36)^(G$5-'ASSUM 1'!I27)*G$7/12*1000</f>
        <v>558.21523364558902</v>
      </c>
      <c r="H16" s="268">
        <f ca="1">('ASSUM 1'!H36)*(1+'ASSUM 1'!I36)^(H$5-'ASSUM 1'!I27)*H$7/12*1000</f>
        <v>558.21523364558902</v>
      </c>
      <c r="I16" s="268">
        <f ca="1">('ASSUM 1'!H36)*(1+'ASSUM 1'!I36)^(I$5-'ASSUM 1'!I27)*I$7/12*1000</f>
        <v>558.21523364558902</v>
      </c>
      <c r="J16" s="268">
        <f ca="1">('ASSUM 1'!H36)*(1+'ASSUM 1'!I36)^(J$5-'ASSUM 1'!I27)*J$7/12*1000</f>
        <v>558.21523364558902</v>
      </c>
      <c r="K16" s="268">
        <f ca="1">('ASSUM 1'!H36)*(1+'ASSUM 1'!I36)^(K$5-'ASSUM 1'!I27)*K$7/12*1000</f>
        <v>558.21523364558902</v>
      </c>
      <c r="L16" s="268">
        <f ca="1">('ASSUM 1'!H36)*(1+'ASSUM 1'!I36)^(L$5-'ASSUM 1'!I27)*L$7/12*1000</f>
        <v>558.21523364558902</v>
      </c>
      <c r="M16" s="268">
        <f ca="1">('ASSUM 1'!H36)*(1+'ASSUM 1'!I36)^(M$5-'ASSUM 1'!I27)*M$7/12*1000</f>
        <v>558.21523364558902</v>
      </c>
      <c r="N16" s="268">
        <f ca="1">('ASSUM 1'!H36)*(1+'ASSUM 1'!I36)^(N$5-'ASSUM 1'!I27)*N$7/12*1000</f>
        <v>558.21523364558902</v>
      </c>
      <c r="O16" s="268">
        <f ca="1">('ASSUM 1'!H36)*(1+'ASSUM 1'!I36)^(O$5-'ASSUM 1'!I27)*O$7/12*1000</f>
        <v>558.21523364558902</v>
      </c>
      <c r="P16" s="268">
        <f ca="1">('ASSUM 1'!H36)*(1+'ASSUM 1'!I36)^(P$5-'ASSUM 1'!I27)*P$7/12*1000</f>
        <v>558.21523364558902</v>
      </c>
      <c r="Q16" s="268">
        <f ca="1">('ASSUM 1'!H36)*(1+'ASSUM 1'!I36)^(Q$5-'ASSUM 1'!I27)*Q$7/12*1000</f>
        <v>558.21523364558902</v>
      </c>
      <c r="R16" s="268">
        <f ca="1">('ASSUM 1'!H36)*(1+'ASSUM 1'!I36)^(R$5-'ASSUM 1'!I27)*R$7/12*1000</f>
        <v>558.21523364558902</v>
      </c>
      <c r="S16" s="268">
        <f ca="1">('ASSUM 1'!H36)*(1+'ASSUM 1'!I36)^(S$5-'ASSUM 1'!I27)*S$7/12*1000</f>
        <v>558.21523364558902</v>
      </c>
      <c r="T16" s="268">
        <f ca="1">('ASSUM 1'!H36)*(1+'ASSUM 1'!I36)^(T$5-'ASSUM 1'!I27)*T$7/12*1000</f>
        <v>558.21523364558902</v>
      </c>
      <c r="U16" s="268">
        <f ca="1">('ASSUM 1'!H36)*(1+'ASSUM 1'!I36)^(U$5-'ASSUM 1'!I27)*U$7/12*1000</f>
        <v>558.21523364558902</v>
      </c>
      <c r="V16" s="268">
        <f ca="1">('ASSUM 1'!H36)*(1+'ASSUM 1'!I36)^(V$5-'ASSUM 1'!I27)*V$7/12*1000</f>
        <v>558.21523364558902</v>
      </c>
    </row>
    <row r="17" spans="1:22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22" ht="15.75">
      <c r="A18" s="267" t="s">
        <v>260</v>
      </c>
      <c r="B18" s="267"/>
      <c r="C18" s="268">
        <f ca="1">SUM(C11:C17)</f>
        <v>2061.1030478623411</v>
      </c>
      <c r="D18" s="268">
        <f t="shared" ref="D18:V18" ca="1" si="2">SUM(D11:D17)</f>
        <v>4979.7354441333791</v>
      </c>
      <c r="E18" s="268">
        <f t="shared" ca="1" si="2"/>
        <v>5135.5445725448271</v>
      </c>
      <c r="F18" s="268">
        <f t="shared" ca="1" si="2"/>
        <v>5273.9894022795052</v>
      </c>
      <c r="G18" s="268">
        <f t="shared" ca="1" si="2"/>
        <v>5376.8765778589532</v>
      </c>
      <c r="H18" s="268">
        <f t="shared" ca="1" si="2"/>
        <v>5482.6549400119911</v>
      </c>
      <c r="I18" s="268">
        <f t="shared" ca="1" si="2"/>
        <v>5630.6645354992579</v>
      </c>
      <c r="J18" s="268">
        <f t="shared" ca="1" si="2"/>
        <v>5780.5280022931474</v>
      </c>
      <c r="K18" s="268">
        <f t="shared" ca="1" si="2"/>
        <v>5917.4266243063003</v>
      </c>
      <c r="L18" s="268">
        <f t="shared" ca="1" si="2"/>
        <v>6053.339559167588</v>
      </c>
      <c r="M18" s="268">
        <f t="shared" ca="1" si="2"/>
        <v>6197.3795394248273</v>
      </c>
      <c r="N18" s="268">
        <f t="shared" ca="1" si="2"/>
        <v>6341.7743378657533</v>
      </c>
      <c r="O18" s="268">
        <f t="shared" ca="1" si="2"/>
        <v>6514.1935527845626</v>
      </c>
      <c r="P18" s="268">
        <f t="shared" ca="1" si="2"/>
        <v>6664.4097214151043</v>
      </c>
      <c r="Q18" s="268">
        <f t="shared" ca="1" si="2"/>
        <v>6836.5693008623712</v>
      </c>
      <c r="R18" s="268">
        <f t="shared" ca="1" si="2"/>
        <v>6988.5864669146094</v>
      </c>
      <c r="S18" s="268">
        <f t="shared" ca="1" si="2"/>
        <v>7168.0447029391062</v>
      </c>
      <c r="T18" s="268">
        <f t="shared" ca="1" si="2"/>
        <v>7342.6304141428946</v>
      </c>
      <c r="U18" s="268">
        <f t="shared" ca="1" si="2"/>
        <v>7527.1740338114059</v>
      </c>
      <c r="V18" s="268">
        <f t="shared" ca="1" si="2"/>
        <v>7692.7422445834436</v>
      </c>
    </row>
    <row r="19" spans="1:22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22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22" ht="15.75">
      <c r="A21" s="267" t="str">
        <f>'ASSUM 1'!F40</f>
        <v xml:space="preserve">   Marketing Fee</v>
      </c>
      <c r="B21" s="267"/>
      <c r="C21" s="84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22" ht="15.75">
      <c r="A22" s="267" t="str">
        <f>'ASSUM 1'!F41</f>
        <v xml:space="preserve">   Property Tax</v>
      </c>
      <c r="B22" s="267"/>
      <c r="C22" s="268">
        <f t="shared" ref="C22:V22" ca="1" si="3">C59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22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22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22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22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22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22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22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22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22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22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2241.6168840402652</v>
      </c>
      <c r="D34" s="272">
        <f t="shared" ca="1" si="5"/>
        <v>5999.1848591601056</v>
      </c>
      <c r="E34" s="272">
        <f t="shared" ca="1" si="5"/>
        <v>6158.2214990138345</v>
      </c>
      <c r="F34" s="272">
        <f t="shared" ca="1" si="5"/>
        <v>6063.1878407435015</v>
      </c>
      <c r="G34" s="272">
        <f t="shared" ca="1" si="5"/>
        <v>6172.419993347281</v>
      </c>
      <c r="H34" s="272">
        <f t="shared" ca="1" si="5"/>
        <v>6230.9122477538194</v>
      </c>
      <c r="I34" s="272">
        <f t="shared" ca="1" si="5"/>
        <v>6429.1776870895992</v>
      </c>
      <c r="J34" s="272">
        <f t="shared" ca="1" si="5"/>
        <v>6634.2188201378667</v>
      </c>
      <c r="K34" s="272">
        <f t="shared" ca="1" si="5"/>
        <v>6780.5756080250458</v>
      </c>
      <c r="L34" s="272">
        <f t="shared" ca="1" si="5"/>
        <v>6909.5870551637609</v>
      </c>
      <c r="M34" s="272">
        <f t="shared" ca="1" si="5"/>
        <v>7064.5430993295431</v>
      </c>
      <c r="N34" s="272">
        <f t="shared" ca="1" si="5"/>
        <v>7204.7162641427039</v>
      </c>
      <c r="O34" s="272">
        <f t="shared" ca="1" si="5"/>
        <v>7385.9114899810493</v>
      </c>
      <c r="P34" s="272">
        <f t="shared" ca="1" si="5"/>
        <v>7524.1211636426533</v>
      </c>
      <c r="Q34" s="272">
        <f t="shared" ca="1" si="5"/>
        <v>7737.9449491106443</v>
      </c>
      <c r="R34" s="272">
        <f t="shared" ca="1" si="5"/>
        <v>7932.0648587880587</v>
      </c>
      <c r="S34" s="272">
        <f t="shared" ca="1" si="5"/>
        <v>8154.2442270544334</v>
      </c>
      <c r="T34" s="272">
        <f t="shared" ca="1" si="5"/>
        <v>8340.7260724989574</v>
      </c>
      <c r="U34" s="272">
        <f t="shared" ca="1" si="5"/>
        <v>8546.6196888428167</v>
      </c>
      <c r="V34" s="272">
        <f t="shared" ca="1" si="5"/>
        <v>8669.3805887277067</v>
      </c>
    </row>
    <row r="35" spans="1:255" s="842" customFormat="1" ht="28.5" hidden="1" customHeight="1">
      <c r="A35" s="842" t="s">
        <v>480</v>
      </c>
      <c r="C35" s="843">
        <f t="shared" ref="C35:H35" ca="1" si="6">(C34-C21-C11)/2</f>
        <v>896.15219202013247</v>
      </c>
      <c r="D35" s="843">
        <f t="shared" ca="1" si="6"/>
        <v>2604.0690545800526</v>
      </c>
      <c r="E35" s="843">
        <f t="shared" ca="1" si="6"/>
        <v>2672.9082433819171</v>
      </c>
      <c r="F35" s="843">
        <f t="shared" ca="1" si="6"/>
        <v>2614.4239465813762</v>
      </c>
      <c r="G35" s="843">
        <f t="shared" ca="1" si="6"/>
        <v>2657.7764335909255</v>
      </c>
      <c r="H35" s="843">
        <f t="shared" ca="1" si="6"/>
        <v>2675.4548545909615</v>
      </c>
      <c r="I35" s="843">
        <f t="shared" ref="I35:V35" ca="1" si="7">(I34-I21-I11)/2</f>
        <v>2762.707539988131</v>
      </c>
      <c r="J35" s="843">
        <f t="shared" ca="1" si="7"/>
        <v>2853.0273113162348</v>
      </c>
      <c r="K35" s="843">
        <f t="shared" ca="1" si="7"/>
        <v>2913.6754885935011</v>
      </c>
      <c r="L35" s="843">
        <f t="shared" ca="1" si="7"/>
        <v>2965.3126796465453</v>
      </c>
      <c r="M35" s="843">
        <f t="shared" ca="1" si="7"/>
        <v>3029.5747188351825</v>
      </c>
      <c r="N35" s="843">
        <f t="shared" ca="1" si="7"/>
        <v>3086.088486809364</v>
      </c>
      <c r="O35" s="843">
        <f t="shared" ca="1" si="7"/>
        <v>3162.7468193064628</v>
      </c>
      <c r="P35" s="843">
        <f t="shared" ca="1" si="7"/>
        <v>3217.5360151437958</v>
      </c>
      <c r="Q35" s="843">
        <f t="shared" ca="1" si="7"/>
        <v>3309.7457445774976</v>
      </c>
      <c r="R35" s="843">
        <f t="shared" ca="1" si="7"/>
        <v>3391.7065777068037</v>
      </c>
      <c r="S35" s="843">
        <f t="shared" ca="1" si="7"/>
        <v>3487.2894638444359</v>
      </c>
      <c r="T35" s="843">
        <f t="shared" ca="1" si="7"/>
        <v>3564.6049050252632</v>
      </c>
      <c r="U35" s="843">
        <f t="shared" ca="1" si="7"/>
        <v>3651.1962436541385</v>
      </c>
      <c r="V35" s="843">
        <f t="shared" ca="1" si="7"/>
        <v>3695.7796263758682</v>
      </c>
    </row>
    <row r="36" spans="1:255" s="842" customFormat="1" ht="28.5" customHeight="1">
      <c r="C36" s="843"/>
      <c r="D36" s="843"/>
      <c r="E36" s="843"/>
      <c r="F36" s="843"/>
      <c r="G36" s="843"/>
      <c r="H36" s="843"/>
      <c r="I36" s="843"/>
      <c r="J36" s="843"/>
      <c r="K36" s="843"/>
      <c r="L36" s="843"/>
      <c r="M36" s="843"/>
      <c r="N36" s="843"/>
      <c r="O36" s="843"/>
      <c r="P36" s="843"/>
      <c r="Q36" s="843"/>
      <c r="R36" s="843"/>
      <c r="S36" s="843"/>
      <c r="T36" s="843"/>
      <c r="U36" s="843"/>
      <c r="V36" s="843"/>
    </row>
    <row r="37" spans="1:255" s="842" customFormat="1" ht="15.75" customHeight="1">
      <c r="A37" s="842" t="s">
        <v>481</v>
      </c>
      <c r="C37" s="847">
        <f ca="1">C34-C13-C11-C16-C14+C44</f>
        <v>1076.8363361779241</v>
      </c>
      <c r="D37" s="847">
        <f ca="1">(D34-D13-D11-D16-D14+D44)/2</f>
        <v>1474.801742513363</v>
      </c>
      <c r="E37" s="847">
        <f t="shared" ref="E37:V37" ca="1" si="8">(E34-E13-E11-E16-E14+E44)/2</f>
        <v>1502.4725781795032</v>
      </c>
      <c r="F37" s="847">
        <f t="shared" ca="1" si="8"/>
        <v>1412.4939552805122</v>
      </c>
      <c r="G37" s="847">
        <f t="shared" ca="1" si="8"/>
        <v>1443.149601665988</v>
      </c>
      <c r="H37" s="847">
        <f t="shared" ca="1" si="8"/>
        <v>1447.7317509286274</v>
      </c>
      <c r="I37" s="847">
        <f t="shared" ca="1" si="8"/>
        <v>1501.8469564734423</v>
      </c>
      <c r="J37" s="847">
        <f t="shared" ca="1" si="8"/>
        <v>1559.205729878945</v>
      </c>
      <c r="K37" s="847">
        <f t="shared" ca="1" si="8"/>
        <v>1594.5085414817845</v>
      </c>
      <c r="L37" s="847">
        <f t="shared" ca="1" si="8"/>
        <v>1622.4570169603044</v>
      </c>
      <c r="M37" s="847">
        <f t="shared" ca="1" si="8"/>
        <v>1660.162047176555</v>
      </c>
      <c r="N37" s="847">
        <f t="shared" ca="1" si="8"/>
        <v>1691.1688975777263</v>
      </c>
      <c r="O37" s="847">
        <f t="shared" ca="1" si="8"/>
        <v>12004.584363641359</v>
      </c>
      <c r="P37" s="847">
        <f t="shared" ca="1" si="8"/>
        <v>1758.4956638069511</v>
      </c>
      <c r="Q37" s="847">
        <f t="shared" ca="1" si="8"/>
        <v>1815.2010452700283</v>
      </c>
      <c r="R37" s="847">
        <f t="shared" ca="1" si="8"/>
        <v>1873.0942740535556</v>
      </c>
      <c r="S37" s="847">
        <f t="shared" ca="1" si="8"/>
        <v>1932.2914272836481</v>
      </c>
      <c r="T37" s="847">
        <f t="shared" ca="1" si="8"/>
        <v>1977.0976693651182</v>
      </c>
      <c r="U37" s="847">
        <f t="shared" ca="1" si="8"/>
        <v>2027.6800133878435</v>
      </c>
      <c r="V37" s="847">
        <f t="shared" ca="1" si="8"/>
        <v>2047.2612019628168</v>
      </c>
    </row>
    <row r="38" spans="1:255" s="842" customFormat="1" ht="15.75" customHeight="1">
      <c r="C38" s="843"/>
      <c r="D38" s="843"/>
      <c r="E38" s="843"/>
      <c r="F38" s="843"/>
      <c r="G38" s="843"/>
      <c r="H38" s="843"/>
      <c r="I38" s="843"/>
      <c r="J38" s="843"/>
      <c r="K38" s="843"/>
      <c r="L38" s="843"/>
      <c r="M38" s="843"/>
    </row>
    <row r="39" spans="1:255" ht="15.75">
      <c r="A39" s="263" t="s">
        <v>263</v>
      </c>
      <c r="B39" s="263"/>
      <c r="C39" s="273">
        <f ca="1">C18/Tariff!C17</f>
        <v>3.5204405968705887E-2</v>
      </c>
      <c r="D39" s="273">
        <f ca="1">D18/Tariff!D17</f>
        <v>2.5531131306806322E-2</v>
      </c>
      <c r="E39" s="273">
        <f ca="1">E18/Tariff!E17</f>
        <v>2.424021149885075E-2</v>
      </c>
      <c r="F39" s="273">
        <f ca="1">F18/Tariff!F17</f>
        <v>2.4133042380569632E-2</v>
      </c>
      <c r="G39" s="273">
        <f ca="1">G18/Tariff!G17</f>
        <v>2.5869929365397667E-2</v>
      </c>
      <c r="H39" s="273">
        <f ca="1">H18/Tariff!H17</f>
        <v>2.776354290902255E-2</v>
      </c>
      <c r="I39" s="273">
        <f ca="1">I18/Tariff!I17</f>
        <v>2.7639044733087047E-2</v>
      </c>
      <c r="J39" s="273">
        <f ca="1">J18/Tariff!J17</f>
        <v>2.7666467371993134E-2</v>
      </c>
      <c r="K39" s="273">
        <f ca="1">K18/Tariff!K17</f>
        <v>2.8542230311872138E-2</v>
      </c>
      <c r="L39" s="273">
        <f ca="1">L18/Tariff!L17</f>
        <v>2.9679586078268764E-2</v>
      </c>
      <c r="M39" s="273">
        <f ca="1">M18/Tariff!M17</f>
        <v>3.062825611613243E-2</v>
      </c>
      <c r="N39" s="273">
        <f ca="1">N18/Tariff!N17</f>
        <v>3.1790521004949758E-2</v>
      </c>
      <c r="O39" s="273">
        <f ca="1">O18/Tariff!O17</f>
        <v>3.1739778504643254E-2</v>
      </c>
      <c r="P39" s="273">
        <f ca="1">P18/Tariff!P17</f>
        <v>3.3059360920835328E-2</v>
      </c>
      <c r="Q39" s="273">
        <f ca="1">Q18/Tariff!Q17</f>
        <v>3.3506978603307744E-2</v>
      </c>
      <c r="R39" s="273">
        <f ca="1">R18/Tariff!R17</f>
        <v>3.5238673582092886E-2</v>
      </c>
      <c r="S39" s="273">
        <f ca="1">S18/Tariff!S17</f>
        <v>3.5808463775921215E-2</v>
      </c>
      <c r="T39" s="273">
        <f ca="1">T18/Tariff!T17</f>
        <v>3.6901996181664169E-2</v>
      </c>
      <c r="U39" s="273">
        <f ca="1">U18/Tariff!U17</f>
        <v>3.7751440141833209E-2</v>
      </c>
      <c r="V39" s="273">
        <f ca="1">V18/Tariff!V17</f>
        <v>3.9908973770186817E-2</v>
      </c>
    </row>
    <row r="40" spans="1:255" ht="15.75">
      <c r="A40" s="263" t="s">
        <v>264</v>
      </c>
      <c r="B40" s="263"/>
      <c r="C40" s="273">
        <f ca="1">C34/Tariff!C17</f>
        <v>3.8287649370032678E-2</v>
      </c>
      <c r="D40" s="273">
        <f ca="1">D34/Tariff!D17</f>
        <v>3.0757854125255935E-2</v>
      </c>
      <c r="E40" s="273">
        <f ca="1">E34/Tariff!E17</f>
        <v>2.9067334434387689E-2</v>
      </c>
      <c r="F40" s="273">
        <f ca="1">F34/Tariff!F17</f>
        <v>2.7744304730452078E-2</v>
      </c>
      <c r="G40" s="273">
        <f ca="1">G34/Tariff!G17</f>
        <v>2.9697551530008588E-2</v>
      </c>
      <c r="H40" s="273">
        <f ca="1">H34/Tariff!H17</f>
        <v>3.1552633066579412E-2</v>
      </c>
      <c r="I40" s="273">
        <f ca="1">I34/Tariff!I17</f>
        <v>3.1558678122293543E-2</v>
      </c>
      <c r="J40" s="273">
        <f ca="1">J34/Tariff!J17</f>
        <v>3.1752358686471936E-2</v>
      </c>
      <c r="K40" s="273">
        <f ca="1">K34/Tariff!K17</f>
        <v>3.2705559855421298E-2</v>
      </c>
      <c r="L40" s="273">
        <f ca="1">L34/Tariff!L17</f>
        <v>3.3877776352137214E-2</v>
      </c>
      <c r="M40" s="273">
        <f ca="1">M34/Tariff!M17</f>
        <v>3.491389126859943E-2</v>
      </c>
      <c r="N40" s="273">
        <f ca="1">N34/Tariff!N17</f>
        <v>3.6116340873619437E-2</v>
      </c>
      <c r="O40" s="273">
        <f ca="1">O34/Tariff!O17</f>
        <v>3.5987139904169671E-2</v>
      </c>
      <c r="P40" s="273">
        <f ca="1">P34/Tariff!P17</f>
        <v>3.7324031318431691E-2</v>
      </c>
      <c r="Q40" s="273">
        <f ca="1">Q34/Tariff!Q17</f>
        <v>3.792474623357045E-2</v>
      </c>
      <c r="R40" s="273">
        <f ca="1">R34/Tariff!R17</f>
        <v>3.9995991423173352E-2</v>
      </c>
      <c r="S40" s="273">
        <f ca="1">S34/Tariff!S17</f>
        <v>4.0735091803315429E-2</v>
      </c>
      <c r="T40" s="273">
        <f ca="1">T34/Tariff!T17</f>
        <v>4.1918144359658821E-2</v>
      </c>
      <c r="U40" s="273">
        <f ca="1">U34/Tariff!U17</f>
        <v>4.2864320679854066E-2</v>
      </c>
      <c r="V40" s="273">
        <f ca="1">V34/Tariff!V17</f>
        <v>4.4975649972272755E-2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/>
      <c r="B41" s="263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74" t="s">
        <v>265</v>
      </c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266</v>
      </c>
      <c r="B43" s="263"/>
      <c r="C43" s="275">
        <f ca="1">C14</f>
        <v>359.45</v>
      </c>
      <c r="D43" s="275">
        <f t="shared" ref="D43:V43" ca="1" si="9">C45+D14</f>
        <v>1806.5381879999998</v>
      </c>
      <c r="E43" s="275">
        <f t="shared" ca="1" si="9"/>
        <v>3292.6977570759996</v>
      </c>
      <c r="F43" s="275">
        <f t="shared" ca="1" si="9"/>
        <v>4818.9836345170506</v>
      </c>
      <c r="G43" s="275">
        <f t="shared" ca="1" si="9"/>
        <v>6386.4792306490099</v>
      </c>
      <c r="H43" s="275">
        <f t="shared" ca="1" si="9"/>
        <v>7996.2972078765324</v>
      </c>
      <c r="I43" s="275">
        <f t="shared" ca="1" si="9"/>
        <v>9649.5802704891976</v>
      </c>
      <c r="J43" s="275">
        <f t="shared" ca="1" si="9"/>
        <v>11347.501975792404</v>
      </c>
      <c r="K43" s="275">
        <f t="shared" ca="1" si="9"/>
        <v>13091.267567138797</v>
      </c>
      <c r="L43" s="275">
        <f t="shared" ca="1" si="9"/>
        <v>14882.114829451542</v>
      </c>
      <c r="M43" s="275">
        <f t="shared" ca="1" si="9"/>
        <v>16721.314967846731</v>
      </c>
      <c r="N43" s="275">
        <f t="shared" ca="1" si="9"/>
        <v>18610.173509978591</v>
      </c>
      <c r="O43" s="275">
        <f t="shared" ca="1" si="9"/>
        <v>20550.03123274801</v>
      </c>
      <c r="P43" s="275">
        <f t="shared" ca="1" si="9"/>
        <v>1992.2338812841938</v>
      </c>
      <c r="Q43" s="275">
        <f t="shared" ca="1" si="9"/>
        <v>4038.2580773630607</v>
      </c>
      <c r="R43" s="275">
        <f t="shared" ca="1" si="9"/>
        <v>6139.5249267360568</v>
      </c>
      <c r="S43" s="275">
        <f t="shared" ca="1" si="9"/>
        <v>8297.525981042123</v>
      </c>
      <c r="T43" s="275">
        <f t="shared" ca="1" si="9"/>
        <v>10513.793063814453</v>
      </c>
      <c r="U43" s="275">
        <f t="shared" ca="1" si="9"/>
        <v>12789.899357821636</v>
      </c>
      <c r="V43" s="275">
        <f t="shared" ca="1" si="9"/>
        <v>15127.460521767012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 t="s">
        <v>267</v>
      </c>
      <c r="B44" s="263"/>
      <c r="C44" s="275">
        <v>0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>
        <f ca="1">O43</f>
        <v>20550.03123274801</v>
      </c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268</v>
      </c>
      <c r="B45" s="263"/>
      <c r="C45" s="275">
        <f t="shared" ref="C45:V45" ca="1" si="10">C43-C44</f>
        <v>359.45</v>
      </c>
      <c r="D45" s="275">
        <f t="shared" ca="1" si="10"/>
        <v>1806.5381879999998</v>
      </c>
      <c r="E45" s="275">
        <f t="shared" ca="1" si="10"/>
        <v>3292.6977570759996</v>
      </c>
      <c r="F45" s="275">
        <f t="shared" ca="1" si="10"/>
        <v>4818.9836345170506</v>
      </c>
      <c r="G45" s="275">
        <f t="shared" ca="1" si="10"/>
        <v>6386.4792306490099</v>
      </c>
      <c r="H45" s="275">
        <f t="shared" ca="1" si="10"/>
        <v>7996.2972078765324</v>
      </c>
      <c r="I45" s="275">
        <f t="shared" ca="1" si="10"/>
        <v>9649.5802704891976</v>
      </c>
      <c r="J45" s="275">
        <f t="shared" ca="1" si="10"/>
        <v>11347.501975792404</v>
      </c>
      <c r="K45" s="275">
        <f t="shared" ca="1" si="10"/>
        <v>13091.267567138797</v>
      </c>
      <c r="L45" s="275">
        <f t="shared" ca="1" si="10"/>
        <v>14882.114829451542</v>
      </c>
      <c r="M45" s="275">
        <f t="shared" ca="1" si="10"/>
        <v>16721.314967846731</v>
      </c>
      <c r="N45" s="275">
        <f t="shared" ca="1" si="10"/>
        <v>18610.173509978591</v>
      </c>
      <c r="O45" s="275">
        <f t="shared" ca="1" si="10"/>
        <v>0</v>
      </c>
      <c r="P45" s="275">
        <f t="shared" ca="1" si="10"/>
        <v>1992.2338812841938</v>
      </c>
      <c r="Q45" s="275">
        <f t="shared" ca="1" si="10"/>
        <v>4038.2580773630607</v>
      </c>
      <c r="R45" s="275">
        <f t="shared" ca="1" si="10"/>
        <v>6139.5249267360568</v>
      </c>
      <c r="S45" s="275">
        <f t="shared" ca="1" si="10"/>
        <v>8297.525981042123</v>
      </c>
      <c r="T45" s="275">
        <f t="shared" ca="1" si="10"/>
        <v>10513.793063814453</v>
      </c>
      <c r="U45" s="275">
        <f t="shared" ca="1" si="10"/>
        <v>12789.899357821636</v>
      </c>
      <c r="V45" s="275">
        <f t="shared" ca="1" si="10"/>
        <v>15127.460521767012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 t="s">
        <v>269</v>
      </c>
      <c r="B46" s="263"/>
      <c r="C46" s="275">
        <f ca="1">C45*'ASSUM 1'!$S$43</f>
        <v>17.9725</v>
      </c>
      <c r="D46" s="275">
        <f ca="1">D45*'ASSUM 1'!$S$43</f>
        <v>90.326909399999991</v>
      </c>
      <c r="E46" s="275">
        <f ca="1">E45*'ASSUM 1'!$S$43</f>
        <v>164.6348878538</v>
      </c>
      <c r="F46" s="275">
        <f ca="1">F45*'ASSUM 1'!$S$43</f>
        <v>240.94918172585255</v>
      </c>
      <c r="G46" s="275">
        <f ca="1">G45*'ASSUM 1'!$S$43</f>
        <v>319.32396153245054</v>
      </c>
      <c r="H46" s="275">
        <f ca="1">H45*'ASSUM 1'!$S$43</f>
        <v>399.81486039382662</v>
      </c>
      <c r="I46" s="275">
        <f ca="1">I45*'ASSUM 1'!$S$43</f>
        <v>482.4790135244599</v>
      </c>
      <c r="J46" s="275">
        <f ca="1">J45*'ASSUM 1'!$S$43</f>
        <v>567.37509878962021</v>
      </c>
      <c r="K46" s="275">
        <f ca="1">K45*'ASSUM 1'!$S$43</f>
        <v>654.56337835693989</v>
      </c>
      <c r="L46" s="275">
        <f ca="1">L45*'ASSUM 1'!$S$43</f>
        <v>744.10574147257717</v>
      </c>
      <c r="M46" s="275">
        <f ca="1">M45*'ASSUM 1'!$S$43</f>
        <v>836.06574839233656</v>
      </c>
      <c r="N46" s="275">
        <f ca="1">N45*'ASSUM 1'!$S$43</f>
        <v>930.50867549892962</v>
      </c>
      <c r="O46" s="275">
        <f ca="1">O45*'ASSUM 1'!$S$43</f>
        <v>0</v>
      </c>
      <c r="P46" s="275">
        <f ca="1">P45*'ASSUM 1'!$S$43</f>
        <v>99.611694064209701</v>
      </c>
      <c r="Q46" s="275">
        <f ca="1">Q45*'ASSUM 1'!$S$43</f>
        <v>201.91290386815305</v>
      </c>
      <c r="R46" s="275">
        <f ca="1">R45*'ASSUM 1'!$S$43</f>
        <v>306.97624633680289</v>
      </c>
      <c r="S46" s="275">
        <f ca="1">S45*'ASSUM 1'!$S$43</f>
        <v>414.87629905210616</v>
      </c>
      <c r="T46" s="275">
        <f ca="1">T45*'ASSUM 1'!$S$43</f>
        <v>525.68965319072265</v>
      </c>
      <c r="U46" s="275">
        <f ca="1">U45*'ASSUM 1'!$S$43</f>
        <v>639.49496789108184</v>
      </c>
      <c r="V46" s="275">
        <f ca="1">V45*'ASSUM 1'!$S$43</f>
        <v>756.37302608835068</v>
      </c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63"/>
      <c r="B47" s="263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270</v>
      </c>
      <c r="B48" s="263"/>
      <c r="C48" s="275">
        <f ca="1">SUM($C$16:C16)</f>
        <v>325.62555295992695</v>
      </c>
      <c r="D48" s="275">
        <f ca="1">SUM($C$16:D16)</f>
        <v>883.84078660551597</v>
      </c>
      <c r="E48" s="275">
        <f ca="1">SUM($C$16:E16)</f>
        <v>1442.0560202511051</v>
      </c>
      <c r="F48" s="275">
        <f ca="1">SUM($C$16:F16)</f>
        <v>2000.2712538966941</v>
      </c>
      <c r="G48" s="275">
        <f ca="1">SUM($C$16:G16)</f>
        <v>2558.4864875422832</v>
      </c>
      <c r="H48" s="275">
        <f ca="1">SUM($C$16:H16)</f>
        <v>3116.701721187872</v>
      </c>
      <c r="I48" s="275">
        <f ca="1">SUM($C$16:I16)</f>
        <v>3674.9169548334612</v>
      </c>
      <c r="J48" s="275">
        <f ca="1">SUM($C$16:J16)</f>
        <v>4233.1321884790505</v>
      </c>
      <c r="K48" s="275">
        <f ca="1">SUM($C$16:K16)</f>
        <v>4791.3474221246397</v>
      </c>
      <c r="L48" s="275">
        <f ca="1">SUM($C$16:L16)</f>
        <v>5349.562655770229</v>
      </c>
      <c r="M48" s="275">
        <f ca="1">SUM($C$16:M16)</f>
        <v>5907.7778894158182</v>
      </c>
      <c r="N48" s="275">
        <f ca="1">SUM($C$16:N16)</f>
        <v>6465.9931230614075</v>
      </c>
      <c r="O48" s="275">
        <f ca="1">SUM($C$16:O16)</f>
        <v>7024.2083567069967</v>
      </c>
      <c r="P48" s="275">
        <f ca="1">SUM($C$16:P16)</f>
        <v>7582.423590352586</v>
      </c>
      <c r="Q48" s="275">
        <f ca="1">SUM($C$16:Q16)</f>
        <v>8140.6388239981752</v>
      </c>
      <c r="R48" s="275">
        <f ca="1">SUM($C$16:R16)</f>
        <v>8698.8540576437645</v>
      </c>
      <c r="S48" s="275">
        <f ca="1">SUM($C$16:S16)</f>
        <v>9257.0692912893537</v>
      </c>
      <c r="T48" s="275">
        <f ca="1">SUM($C$16:T16)</f>
        <v>9815.284524934943</v>
      </c>
      <c r="U48" s="275">
        <f ca="1">SUM($C$16:U16)</f>
        <v>10373.499758580532</v>
      </c>
      <c r="V48" s="275">
        <f ca="1">SUM($C$16:V16)</f>
        <v>10931.714992226121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74" t="s">
        <v>271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 t="s">
        <v>272</v>
      </c>
      <c r="B51" s="263"/>
      <c r="C51" s="275">
        <f ca="1">IF(C6=1,0,+'BKDEPR 144A'!C15*1000)</f>
        <v>0</v>
      </c>
      <c r="D51" s="275">
        <f ca="1">IF(D6=1,0,+'BKDEPR 144A'!C15*1000)</f>
        <v>124665.655348</v>
      </c>
      <c r="E51" s="275">
        <f ca="1">IF(E6=1,0,+'BKDEPR 144A'!C15*1000)</f>
        <v>124665.655348</v>
      </c>
      <c r="F51" s="275">
        <f ca="1">IF(F6=1,0,+'BKDEPR 144A'!C15*1000)</f>
        <v>124665.655348</v>
      </c>
      <c r="G51" s="275">
        <f ca="1">IF(G6=1,0,+'BKDEPR 144A'!C15*1000)</f>
        <v>124665.655348</v>
      </c>
      <c r="H51" s="275">
        <f ca="1">IF(H6=1,0,+'BKDEPR 144A'!C15*1000)</f>
        <v>124665.655348</v>
      </c>
      <c r="I51" s="275">
        <f ca="1">IF(I6=1,0,+'BKDEPR 144A'!C15*1000)</f>
        <v>124665.655348</v>
      </c>
      <c r="J51" s="275">
        <f ca="1">IF(J6=1,0,+'BKDEPR 144A'!C15*1000)</f>
        <v>124665.655348</v>
      </c>
      <c r="K51" s="275">
        <f ca="1">IF(K6=1,0,+'BKDEPR 144A'!C15*1000)</f>
        <v>124665.655348</v>
      </c>
      <c r="L51" s="275">
        <f ca="1">IF(L6=1,0,+'BKDEPR 144A'!C15*1000)</f>
        <v>124665.655348</v>
      </c>
      <c r="M51" s="275">
        <f ca="1">IF(M6=1,0,+'BKDEPR 144A'!C15*1000)</f>
        <v>124665.655348</v>
      </c>
      <c r="N51" s="275">
        <f ca="1">IF(N6=1,0,+'BKDEPR 144A'!C15*1000)</f>
        <v>124665.655348</v>
      </c>
      <c r="O51" s="275">
        <f ca="1">IF(O6=1,0,+'BKDEPR 144A'!C15*1000)</f>
        <v>124665.655348</v>
      </c>
      <c r="P51" s="275">
        <f ca="1">IF(P6=1,0,+'BKDEPR 144A'!C15*1000)</f>
        <v>124665.655348</v>
      </c>
      <c r="Q51" s="275">
        <f ca="1">IF(Q6=1,0,+'BKDEPR 144A'!C15*1000)</f>
        <v>124665.655348</v>
      </c>
      <c r="R51" s="275">
        <f ca="1">IF(R6=1,0,+'BKDEPR 144A'!C15*1000)</f>
        <v>124665.655348</v>
      </c>
      <c r="S51" s="275">
        <f ca="1">IF(S6=1,0,+'BKDEPR 144A'!C15*1000)</f>
        <v>124665.655348</v>
      </c>
      <c r="T51" s="275">
        <f ca="1">IF(T6=1,0,+'BKDEPR 144A'!C15*1000)</f>
        <v>124665.655348</v>
      </c>
      <c r="U51" s="275">
        <f ca="1">IF(U6=1,0,+'BKDEPR 144A'!C15*1000)</f>
        <v>124665.655348</v>
      </c>
      <c r="V51" s="275">
        <f ca="1">IF(V6=1,0,+'BKDEPR 144A'!C15*1000)</f>
        <v>124665.655348</v>
      </c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273</v>
      </c>
      <c r="B52" s="263"/>
      <c r="C52" s="276">
        <f ca="1">IF(C6&lt;='ASSUM 1'!M42,'ASSUM 1'!N42/100,IF(C6&lt;='ASSUM 1'!M43,'ASSUM 1'!N43/100,'ASSUM 1'!N44/100))</f>
        <v>8.1000000000000013E-3</v>
      </c>
      <c r="D52" s="276">
        <f ca="1">IF(D6&lt;='ASSUM 1'!M42,'ASSUM 1'!#REF!/100,IF(D6&lt;='ASSUM 1'!M43,'ASSUM 1'!N43/100,'ASSUM 1'!N44/100))</f>
        <v>4.8999999999999998E-3</v>
      </c>
      <c r="E52" s="276">
        <f ca="1">IF(E6&lt;='ASSUM 1'!M42,#REF!/100,IF(E6&lt;='ASSUM 1'!M43,'ASSUM 1'!N43/100,'ASSUM 1'!N44/100))</f>
        <v>4.8999999999999998E-3</v>
      </c>
      <c r="F52" s="276">
        <f ca="1">IF(F6&lt;='ASSUM 1'!M42,#REF!/100,IF(F6&lt;='ASSUM 1'!M43,'ASSUM 1'!N43/100,'ASSUM 1'!N44/100))</f>
        <v>2.9160000000000002E-3</v>
      </c>
      <c r="G52" s="276">
        <f ca="1">IF(G6&lt;='ASSUM 1'!M42,#REF!/100,IF(G6&lt;='ASSUM 1'!M43,'ASSUM 1'!N43/100,'ASSUM 1'!N44/100))</f>
        <v>2.9160000000000002E-3</v>
      </c>
      <c r="H52" s="276">
        <f ca="1">IF(H6&lt;='ASSUM 1'!M42,#REF!/100,IF(H6&lt;='ASSUM 1'!M43,'ASSUM 1'!N43/100,'ASSUM 1'!N44/100))</f>
        <v>2.9160000000000002E-3</v>
      </c>
      <c r="I52" s="276">
        <f ca="1">IF(I6&lt;='ASSUM 1'!M42,#REF!/100,IF(I6&lt;='ASSUM 1'!M43,'ASSUM 1'!N43/100,'ASSUM 1'!N44/100))</f>
        <v>2.9160000000000002E-3</v>
      </c>
      <c r="J52" s="276">
        <f ca="1">IF(J6&lt;='ASSUM 1'!M42,'ASSUM 1'!O58/100,IF(J6&lt;='ASSUM 1'!M43,'ASSUM 1'!N43/100,'ASSUM 1'!N44/100))</f>
        <v>2.9160000000000002E-3</v>
      </c>
      <c r="K52" s="276">
        <f ca="1">IF(K6&lt;='ASSUM 1'!M42,'ASSUM 1'!P58/100,IF(K6&lt;='ASSUM 1'!M43,'ASSUM 1'!N43/100,'ASSUM 1'!N44/100))</f>
        <v>2.9160000000000002E-3</v>
      </c>
      <c r="L52" s="276">
        <f ca="1">IF(L6&lt;='ASSUM 1'!M42,#REF!/100,IF(L6&lt;='ASSUM 1'!M43,'ASSUM 1'!N43/100,'ASSUM 1'!N44/100))</f>
        <v>2.9160000000000002E-3</v>
      </c>
      <c r="M52" s="276">
        <f ca="1">IF(M6&lt;='ASSUM 1'!M42,'ASSUM 1'!Q58/100,IF(M6&lt;='ASSUM 1'!M43,'ASSUM 1'!N43/100,'ASSUM 1'!N44/100))</f>
        <v>2.9160000000000002E-3</v>
      </c>
      <c r="N52" s="276">
        <f ca="1">IF(N6&lt;='ASSUM 1'!M42,'ASSUM 1'!R58/100,IF(N6&lt;='ASSUM 1'!M43,'ASSUM 1'!N43/100,'ASSUM 1'!N44/100))</f>
        <v>2.9160000000000002E-3</v>
      </c>
      <c r="O52" s="276">
        <f ca="1">IF(O6&lt;='ASSUM 1'!M42,'ASSUM 1'!S58/100,IF(O6&lt;='ASSUM 1'!M43,'ASSUM 1'!N43/100,'ASSUM 1'!N44/100))</f>
        <v>2.9160000000000002E-3</v>
      </c>
      <c r="P52" s="276">
        <f ca="1">IF(P6&lt;='ASSUM 1'!M42,#REF!/100,IF(P6&lt;='ASSUM 1'!M43,'ASSUM 1'!N43/100,'ASSUM 1'!N44/100))</f>
        <v>2.9160000000000002E-3</v>
      </c>
      <c r="Q52" s="276">
        <f ca="1">IF(Q6&lt;='ASSUM 1'!M42,#REF!/100,IF(Q6&lt;='ASSUM 1'!M43,'ASSUM 1'!N43/100,'ASSUM 1'!N44/100))</f>
        <v>2.9160000000000002E-3</v>
      </c>
      <c r="R52" s="276">
        <f ca="1">IF(R6&lt;='ASSUM 1'!M42,'ASSUM 1'!T58/100,IF(R6&lt;='ASSUM 1'!M43,'ASSUM 1'!N43/100,'ASSUM 1'!N44/100))</f>
        <v>2.9160000000000002E-3</v>
      </c>
      <c r="S52" s="276">
        <f ca="1">IF(S6&lt;='ASSUM 1'!M42,'ASSUM 1'!#REF!/100,IF(S6&lt;='ASSUM 1'!M43,'ASSUM 1'!N43/100,'ASSUM 1'!N44/100))</f>
        <v>2.9160000000000002E-3</v>
      </c>
      <c r="T52" s="276">
        <f ca="1">IF(T6&lt;='ASSUM 1'!M42,'ASSUM 1'!#REF!/100,IF(T6&lt;='ASSUM 1'!M43,'ASSUM 1'!N43/100,'ASSUM 1'!N44/100))</f>
        <v>2.9160000000000002E-3</v>
      </c>
      <c r="U52" s="276">
        <f ca="1">IF(U6&lt;='ASSUM 1'!M42,'ASSUM 1'!#REF!/100,IF(U6&lt;='ASSUM 1'!M43,'ASSUM 1'!N43/100,'ASSUM 1'!N44/100))</f>
        <v>2.9160000000000002E-3</v>
      </c>
      <c r="V52" s="276">
        <f ca="1">IF(V6&lt;='ASSUM 1'!M42,'ASSUM 1'!#REF!/100,IF(V6&lt;='ASSUM 1'!M43,'ASSUM 1'!N43/100,'ASSUM 1'!N44/100))</f>
        <v>2.9160000000000002E-3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274</v>
      </c>
      <c r="B53" s="263"/>
      <c r="C53" s="275">
        <f t="shared" ref="C53:V53" ca="1" si="11">C51*C52</f>
        <v>0</v>
      </c>
      <c r="D53" s="275">
        <f t="shared" ca="1" si="11"/>
        <v>610.86171120519998</v>
      </c>
      <c r="E53" s="275">
        <f t="shared" ca="1" si="11"/>
        <v>610.86171120519998</v>
      </c>
      <c r="F53" s="275">
        <f t="shared" ca="1" si="11"/>
        <v>363.52505099476804</v>
      </c>
      <c r="G53" s="275">
        <f t="shared" ca="1" si="11"/>
        <v>363.52505099476804</v>
      </c>
      <c r="H53" s="275">
        <f t="shared" ca="1" si="11"/>
        <v>363.52505099476804</v>
      </c>
      <c r="I53" s="275">
        <f t="shared" ca="1" si="11"/>
        <v>363.52505099476804</v>
      </c>
      <c r="J53" s="275">
        <f t="shared" ca="1" si="11"/>
        <v>363.52505099476804</v>
      </c>
      <c r="K53" s="275">
        <f t="shared" ca="1" si="11"/>
        <v>363.52505099476804</v>
      </c>
      <c r="L53" s="275">
        <f t="shared" ca="1" si="11"/>
        <v>363.52505099476804</v>
      </c>
      <c r="M53" s="275">
        <f t="shared" ca="1" si="11"/>
        <v>363.52505099476804</v>
      </c>
      <c r="N53" s="275">
        <f t="shared" ca="1" si="11"/>
        <v>363.52505099476804</v>
      </c>
      <c r="O53" s="275">
        <f t="shared" ca="1" si="11"/>
        <v>363.52505099476804</v>
      </c>
      <c r="P53" s="275">
        <f t="shared" ca="1" si="11"/>
        <v>363.52505099476804</v>
      </c>
      <c r="Q53" s="275">
        <f t="shared" ca="1" si="11"/>
        <v>363.52505099476804</v>
      </c>
      <c r="R53" s="275">
        <f t="shared" ca="1" si="11"/>
        <v>363.52505099476804</v>
      </c>
      <c r="S53" s="275">
        <f t="shared" ca="1" si="11"/>
        <v>363.52505099476804</v>
      </c>
      <c r="T53" s="275">
        <f t="shared" ca="1" si="11"/>
        <v>363.52505099476804</v>
      </c>
      <c r="U53" s="275">
        <f t="shared" ca="1" si="11"/>
        <v>363.52505099476804</v>
      </c>
      <c r="V53" s="275">
        <f t="shared" ca="1" si="11"/>
        <v>363.52505099476804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/>
      <c r="B54" s="263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 t="s">
        <v>275</v>
      </c>
      <c r="B55" s="263"/>
      <c r="C55" s="275">
        <f>'ASSUM 2'!$E$26*10^3</f>
        <v>250</v>
      </c>
      <c r="D55" s="275">
        <f>'ASSUM 2'!$E$26*10^3</f>
        <v>250</v>
      </c>
      <c r="E55" s="275">
        <f>'ASSUM 2'!$E$26*10^3</f>
        <v>250</v>
      </c>
      <c r="F55" s="275">
        <f>'ASSUM 2'!$E$26*10^3</f>
        <v>250</v>
      </c>
      <c r="G55" s="275">
        <f>'ASSUM 2'!$E$26*10^3</f>
        <v>250</v>
      </c>
      <c r="H55" s="275">
        <f>'ASSUM 2'!$E$26*10^3</f>
        <v>250</v>
      </c>
      <c r="I55" s="275">
        <f>'ASSUM 2'!$E$26*10^3</f>
        <v>250</v>
      </c>
      <c r="J55" s="275">
        <f>'ASSUM 2'!$E$26*10^3</f>
        <v>250</v>
      </c>
      <c r="K55" s="275">
        <f>'ASSUM 2'!$E$26*10^3</f>
        <v>250</v>
      </c>
      <c r="L55" s="275">
        <f>'ASSUM 2'!$E$26*10^3</f>
        <v>250</v>
      </c>
      <c r="M55" s="275">
        <f>'ASSUM 2'!$E$26*10^3</f>
        <v>250</v>
      </c>
      <c r="N55" s="275">
        <f>'ASSUM 2'!$E$26*10^3</f>
        <v>250</v>
      </c>
      <c r="O55" s="275">
        <f>'ASSUM 2'!$E$26*10^3</f>
        <v>250</v>
      </c>
      <c r="P55" s="275">
        <f>'ASSUM 2'!$E$26*10^3</f>
        <v>250</v>
      </c>
      <c r="Q55" s="275">
        <f>'ASSUM 2'!$E$26*10^3</f>
        <v>250</v>
      </c>
      <c r="R55" s="275">
        <f>'ASSUM 2'!$E$26*10^3</f>
        <v>250</v>
      </c>
      <c r="S55" s="275">
        <f>'ASSUM 2'!$E$26*10^3</f>
        <v>250</v>
      </c>
      <c r="T55" s="275">
        <f>'ASSUM 2'!$E$26*10^3</f>
        <v>250</v>
      </c>
      <c r="U55" s="275">
        <f>'ASSUM 2'!$E$26*10^3</f>
        <v>250</v>
      </c>
      <c r="V55" s="275">
        <f>'ASSUM 2'!$E$26*10^3</f>
        <v>250</v>
      </c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63" t="s">
        <v>276</v>
      </c>
      <c r="B56" s="263"/>
      <c r="C56" s="277">
        <f>[0]!_XX1/100</f>
        <v>7.4999999999999997E-3</v>
      </c>
      <c r="D56" s="277">
        <f>[0]!_XX1/100</f>
        <v>7.4999999999999997E-3</v>
      </c>
      <c r="E56" s="277">
        <f>[0]!_XX1/100</f>
        <v>7.4999999999999997E-3</v>
      </c>
      <c r="F56" s="277">
        <f>[0]!_XX1/100</f>
        <v>7.4999999999999997E-3</v>
      </c>
      <c r="G56" s="277">
        <f>[0]!_XX1/100</f>
        <v>7.4999999999999997E-3</v>
      </c>
      <c r="H56" s="277">
        <f>[0]!_XX1/100</f>
        <v>7.4999999999999997E-3</v>
      </c>
      <c r="I56" s="277">
        <f>[0]!_XX1/100</f>
        <v>7.4999999999999997E-3</v>
      </c>
      <c r="J56" s="277">
        <f>[0]!_XX1/100</f>
        <v>7.4999999999999997E-3</v>
      </c>
      <c r="K56" s="277">
        <f>[0]!_XX1/100</f>
        <v>7.4999999999999997E-3</v>
      </c>
      <c r="L56" s="277">
        <f>[0]!_XX1/100</f>
        <v>7.4999999999999997E-3</v>
      </c>
      <c r="M56" s="277">
        <f>[0]!_XX1/100</f>
        <v>7.4999999999999997E-3</v>
      </c>
      <c r="N56" s="277">
        <f>[0]!_XX1/100</f>
        <v>7.4999999999999997E-3</v>
      </c>
      <c r="O56" s="277">
        <f>[0]!_XX1/100</f>
        <v>7.4999999999999997E-3</v>
      </c>
      <c r="P56" s="277">
        <f>[0]!_XX1/100</f>
        <v>7.4999999999999997E-3</v>
      </c>
      <c r="Q56" s="277">
        <f>[0]!_XX1/100</f>
        <v>7.4999999999999997E-3</v>
      </c>
      <c r="R56" s="277">
        <f>[0]!_XX1/100</f>
        <v>7.4999999999999997E-3</v>
      </c>
      <c r="S56" s="277">
        <f>[0]!_XX1/100</f>
        <v>7.4999999999999997E-3</v>
      </c>
      <c r="T56" s="277">
        <f>[0]!_XX1/100</f>
        <v>7.4999999999999997E-3</v>
      </c>
      <c r="U56" s="277">
        <f>[0]!_XX1/100</f>
        <v>7.4999999999999997E-3</v>
      </c>
      <c r="V56" s="277">
        <f>[0]!_XX1/100</f>
        <v>7.4999999999999997E-3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 t="s">
        <v>271</v>
      </c>
      <c r="B57" s="263"/>
      <c r="C57" s="275">
        <f t="shared" ref="C57:V57" si="12">C55*C56</f>
        <v>1.875</v>
      </c>
      <c r="D57" s="275">
        <f t="shared" si="12"/>
        <v>1.875</v>
      </c>
      <c r="E57" s="275">
        <f t="shared" si="12"/>
        <v>1.875</v>
      </c>
      <c r="F57" s="275">
        <f t="shared" si="12"/>
        <v>1.875</v>
      </c>
      <c r="G57" s="275">
        <f t="shared" si="12"/>
        <v>1.875</v>
      </c>
      <c r="H57" s="275">
        <f t="shared" si="12"/>
        <v>1.875</v>
      </c>
      <c r="I57" s="275">
        <f t="shared" si="12"/>
        <v>1.875</v>
      </c>
      <c r="J57" s="275">
        <f t="shared" si="12"/>
        <v>1.875</v>
      </c>
      <c r="K57" s="275">
        <f t="shared" si="12"/>
        <v>1.875</v>
      </c>
      <c r="L57" s="275">
        <f t="shared" si="12"/>
        <v>1.875</v>
      </c>
      <c r="M57" s="275">
        <f t="shared" si="12"/>
        <v>1.875</v>
      </c>
      <c r="N57" s="275">
        <f t="shared" si="12"/>
        <v>1.875</v>
      </c>
      <c r="O57" s="275">
        <f t="shared" si="12"/>
        <v>1.875</v>
      </c>
      <c r="P57" s="275">
        <f t="shared" si="12"/>
        <v>1.875</v>
      </c>
      <c r="Q57" s="275">
        <f t="shared" si="12"/>
        <v>1.875</v>
      </c>
      <c r="R57" s="275">
        <f t="shared" si="12"/>
        <v>1.875</v>
      </c>
      <c r="S57" s="275">
        <f t="shared" si="12"/>
        <v>1.875</v>
      </c>
      <c r="T57" s="275">
        <f t="shared" si="12"/>
        <v>1.875</v>
      </c>
      <c r="U57" s="275">
        <f t="shared" si="12"/>
        <v>1.875</v>
      </c>
      <c r="V57" s="275">
        <f t="shared" si="12"/>
        <v>1.875</v>
      </c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74" t="s">
        <v>277</v>
      </c>
      <c r="B59" s="263"/>
      <c r="C59" s="275">
        <f t="shared" ref="C59:V59" ca="1" si="13">C57+C53</f>
        <v>1.875</v>
      </c>
      <c r="D59" s="275">
        <f t="shared" ca="1" si="13"/>
        <v>612.73671120519998</v>
      </c>
      <c r="E59" s="275">
        <f t="shared" ca="1" si="13"/>
        <v>612.73671120519998</v>
      </c>
      <c r="F59" s="275">
        <f t="shared" ca="1" si="13"/>
        <v>365.40005099476804</v>
      </c>
      <c r="G59" s="275">
        <f t="shared" ca="1" si="13"/>
        <v>365.40005099476804</v>
      </c>
      <c r="H59" s="275">
        <f t="shared" ca="1" si="13"/>
        <v>365.40005099476804</v>
      </c>
      <c r="I59" s="275">
        <f t="shared" ca="1" si="13"/>
        <v>365.40005099476804</v>
      </c>
      <c r="J59" s="275">
        <f t="shared" ca="1" si="13"/>
        <v>365.40005099476804</v>
      </c>
      <c r="K59" s="275">
        <f t="shared" ca="1" si="13"/>
        <v>365.40005099476804</v>
      </c>
      <c r="L59" s="275">
        <f t="shared" ca="1" si="13"/>
        <v>365.40005099476804</v>
      </c>
      <c r="M59" s="275">
        <f t="shared" ca="1" si="13"/>
        <v>365.40005099476804</v>
      </c>
      <c r="N59" s="275">
        <f t="shared" ca="1" si="13"/>
        <v>365.40005099476804</v>
      </c>
      <c r="O59" s="275">
        <f t="shared" ca="1" si="13"/>
        <v>365.40005099476804</v>
      </c>
      <c r="P59" s="275">
        <f t="shared" ca="1" si="13"/>
        <v>365.40005099476804</v>
      </c>
      <c r="Q59" s="275">
        <f t="shared" ca="1" si="13"/>
        <v>365.40005099476804</v>
      </c>
      <c r="R59" s="275">
        <f t="shared" ca="1" si="13"/>
        <v>365.40005099476804</v>
      </c>
      <c r="S59" s="275">
        <f t="shared" ca="1" si="13"/>
        <v>365.40005099476804</v>
      </c>
      <c r="T59" s="275">
        <f t="shared" ca="1" si="13"/>
        <v>365.40005099476804</v>
      </c>
      <c r="U59" s="275">
        <f t="shared" ca="1" si="13"/>
        <v>365.40005099476804</v>
      </c>
      <c r="V59" s="275">
        <f t="shared" ca="1" si="13"/>
        <v>365.40005099476804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74" t="s">
        <v>278</v>
      </c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177</v>
      </c>
      <c r="B62" s="263">
        <f>'ASSUM 1'!M30</f>
        <v>45</v>
      </c>
      <c r="C62" s="275">
        <f ca="1">FUEL!C88/365.25*$B$62</f>
        <v>298.46448466012345</v>
      </c>
      <c r="D62" s="275">
        <f ca="1">FUEL!D88/365.25*$B$62</f>
        <v>921.50063852174071</v>
      </c>
      <c r="E62" s="275">
        <f ca="1">FUEL!E88/365.25*$B$62</f>
        <v>1030.3864408514121</v>
      </c>
      <c r="F62" s="275">
        <f ca="1">FUEL!F88/365.25*$B$62</f>
        <v>1091.3543891500274</v>
      </c>
      <c r="G62" s="275">
        <f ca="1">FUEL!G88/365.25*$B$62</f>
        <v>1065.6103175663491</v>
      </c>
      <c r="H62" s="275">
        <f ca="1">FUEL!H88/365.25*$B$62</f>
        <v>1039.6724474411835</v>
      </c>
      <c r="I62" s="275">
        <f ca="1">FUEL!I88/365.25*$B$62</f>
        <v>1101.4076411303554</v>
      </c>
      <c r="J62" s="275">
        <f ca="1">FUEL!J88/365.25*$B$62</f>
        <v>1160.0723993993763</v>
      </c>
      <c r="K62" s="275">
        <f ca="1">FUEL!K88/365.25*$B$62</f>
        <v>1182.4001146328392</v>
      </c>
      <c r="L62" s="275">
        <f ca="1">FUEL!L88/365.25*$B$62</f>
        <v>1194.5407928046918</v>
      </c>
      <c r="M62" s="275">
        <f ca="1">FUEL!M88/365.25*$B$62</f>
        <v>1217.0038561148881</v>
      </c>
      <c r="N62" s="275">
        <f ca="1">FUEL!N88/365.25*$B$62</f>
        <v>1232.1158297833026</v>
      </c>
      <c r="O62" s="275">
        <f ca="1">FUEL!O88/365.25*$B$62</f>
        <v>1301.661614760709</v>
      </c>
      <c r="P62" s="275">
        <f ca="1">FUEL!P88/365.25*$B$62</f>
        <v>1313.183905454066</v>
      </c>
      <c r="Q62" s="275">
        <f ca="1">FUEL!Q88/365.25*$B$62</f>
        <v>1365.0803187839247</v>
      </c>
      <c r="R62" s="275">
        <f ca="1">FUEL!R88/365.25*$B$62</f>
        <v>1398.8734090548785</v>
      </c>
      <c r="S62" s="275">
        <f ca="1">FUEL!S88/365.25*$B$62</f>
        <v>1449.9416827774983</v>
      </c>
      <c r="T62" s="275">
        <f ca="1">FUEL!T88/365.25*$B$62</f>
        <v>1480.0606883921093</v>
      </c>
      <c r="U62" s="275">
        <f ca="1">FUEL!U88/365.25*$B$62</f>
        <v>1523.1026804781914</v>
      </c>
      <c r="V62" s="275">
        <f ca="1">FUEL!V88/365.25*$B$62</f>
        <v>1512.293644481503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 t="s">
        <v>178</v>
      </c>
      <c r="B63" s="263">
        <f>'ASSUM 1'!M29</f>
        <v>30</v>
      </c>
      <c r="C63" s="278">
        <f t="shared" ref="C63:V63" ca="1" si="14">C34/365.25*$B$63</f>
        <v>184.11637651254745</v>
      </c>
      <c r="D63" s="278">
        <f t="shared" ca="1" si="14"/>
        <v>492.74618966407439</v>
      </c>
      <c r="E63" s="278">
        <f t="shared" ca="1" si="14"/>
        <v>505.80874735226564</v>
      </c>
      <c r="F63" s="278">
        <f t="shared" ca="1" si="14"/>
        <v>498.00310806928144</v>
      </c>
      <c r="G63" s="278">
        <f t="shared" ca="1" si="14"/>
        <v>506.97494811887316</v>
      </c>
      <c r="H63" s="278">
        <f t="shared" ca="1" si="14"/>
        <v>511.77924006191529</v>
      </c>
      <c r="I63" s="278">
        <f t="shared" ca="1" si="14"/>
        <v>528.06387573631207</v>
      </c>
      <c r="J63" s="278">
        <f t="shared" ca="1" si="14"/>
        <v>544.90503656163173</v>
      </c>
      <c r="K63" s="278">
        <f t="shared" ca="1" si="14"/>
        <v>556.92612796920287</v>
      </c>
      <c r="L63" s="278">
        <f t="shared" ca="1" si="14"/>
        <v>567.52255073213644</v>
      </c>
      <c r="M63" s="278">
        <f t="shared" ca="1" si="14"/>
        <v>580.24994655684134</v>
      </c>
      <c r="N63" s="278">
        <f t="shared" ca="1" si="14"/>
        <v>591.76314284539671</v>
      </c>
      <c r="O63" s="278">
        <f t="shared" ca="1" si="14"/>
        <v>606.64570759597939</v>
      </c>
      <c r="P63" s="278">
        <f t="shared" ca="1" si="14"/>
        <v>617.99763151069021</v>
      </c>
      <c r="Q63" s="278">
        <f t="shared" ca="1" si="14"/>
        <v>635.56016009122334</v>
      </c>
      <c r="R63" s="278">
        <f t="shared" ca="1" si="14"/>
        <v>651.50430051647299</v>
      </c>
      <c r="S63" s="278">
        <f t="shared" ca="1" si="14"/>
        <v>669.75311926525114</v>
      </c>
      <c r="T63" s="278">
        <f t="shared" ca="1" si="14"/>
        <v>685.06990328533527</v>
      </c>
      <c r="U63" s="278">
        <f t="shared" ca="1" si="14"/>
        <v>701.98108327251055</v>
      </c>
      <c r="V63" s="278">
        <f t="shared" ca="1" si="14"/>
        <v>712.06411406387724</v>
      </c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A64" s="263"/>
      <c r="B64" s="263"/>
      <c r="C64" s="275">
        <f t="shared" ref="C64:V64" ca="1" si="15">C63+C62</f>
        <v>482.58086117267089</v>
      </c>
      <c r="D64" s="275">
        <f t="shared" ca="1" si="15"/>
        <v>1414.246828185815</v>
      </c>
      <c r="E64" s="275">
        <f t="shared" ca="1" si="15"/>
        <v>1536.1951882036778</v>
      </c>
      <c r="F64" s="275">
        <f t="shared" ca="1" si="15"/>
        <v>1589.3574972193087</v>
      </c>
      <c r="G64" s="275">
        <f t="shared" ca="1" si="15"/>
        <v>1572.5852656852221</v>
      </c>
      <c r="H64" s="275">
        <f t="shared" ca="1" si="15"/>
        <v>1551.4516875030988</v>
      </c>
      <c r="I64" s="275">
        <f t="shared" ca="1" si="15"/>
        <v>1629.4715168666676</v>
      </c>
      <c r="J64" s="275">
        <f t="shared" ca="1" si="15"/>
        <v>1704.977435961008</v>
      </c>
      <c r="K64" s="275">
        <f t="shared" ca="1" si="15"/>
        <v>1739.3262426020419</v>
      </c>
      <c r="L64" s="275">
        <f t="shared" ca="1" si="15"/>
        <v>1762.0633435368281</v>
      </c>
      <c r="M64" s="275">
        <f t="shared" ca="1" si="15"/>
        <v>1797.2538026717293</v>
      </c>
      <c r="N64" s="275">
        <f t="shared" ca="1" si="15"/>
        <v>1823.8789726286993</v>
      </c>
      <c r="O64" s="275">
        <f t="shared" ca="1" si="15"/>
        <v>1908.3073223566885</v>
      </c>
      <c r="P64" s="275">
        <f t="shared" ca="1" si="15"/>
        <v>1931.1815369647561</v>
      </c>
      <c r="Q64" s="275">
        <f t="shared" ca="1" si="15"/>
        <v>2000.6404788751479</v>
      </c>
      <c r="R64" s="275">
        <f t="shared" ca="1" si="15"/>
        <v>2050.3777095713513</v>
      </c>
      <c r="S64" s="275">
        <f t="shared" ca="1" si="15"/>
        <v>2119.6948020427494</v>
      </c>
      <c r="T64" s="275">
        <f t="shared" ca="1" si="15"/>
        <v>2165.1305916774445</v>
      </c>
      <c r="U64" s="275">
        <f t="shared" ca="1" si="15"/>
        <v>2225.083763750702</v>
      </c>
      <c r="V64" s="275">
        <f t="shared" ca="1" si="15"/>
        <v>2224.3577585453804</v>
      </c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A65" s="263" t="s">
        <v>279</v>
      </c>
      <c r="B65" s="263"/>
      <c r="C65" s="279"/>
      <c r="D65" s="275">
        <f ca="1">IF(D6&lt;3,+D64-'ASSUM 1'!N31,D64-C64)-IF(D6='ASSUM 1'!D36,D64,0)</f>
        <v>0</v>
      </c>
      <c r="E65" s="275">
        <f ca="1">IF(E6&lt;3,+E64-'ASSUM 1'!N31,E64-D64)-IF(E6='ASSUM 1'!D36,E64,0)</f>
        <v>121.9483600178628</v>
      </c>
      <c r="F65" s="275">
        <f ca="1">IF(F6&lt;3,+F64-'ASSUM 1'!N31,F64-E64)-IF(F6='ASSUM 1'!D36,F64,0)</f>
        <v>53.162309015630854</v>
      </c>
      <c r="G65" s="275">
        <f ca="1">IF(G6&lt;3,+G64-'ASSUM 1'!N31,G64-F64)-IF(G6='ASSUM 1'!D36,G64,0)</f>
        <v>-16.772231534086586</v>
      </c>
      <c r="H65" s="275">
        <f ca="1">IF(H6&lt;3,+H64-'ASSUM 1'!N31,H64-G64)-IF(H6='ASSUM 1'!D36,H64,0)</f>
        <v>-21.133578182123301</v>
      </c>
      <c r="I65" s="275">
        <f ca="1">IF(I6&lt;3,+I64-'ASSUM 1'!N31,I64-H64)-IF(I6='ASSUM 1'!D36,I64,0)</f>
        <v>78.019829363568761</v>
      </c>
      <c r="J65" s="275">
        <f ca="1">IF(J6&lt;3,+J64-'ASSUM 1'!N31,J64-I64)-IF(J6='ASSUM 1'!D36,J64,0)</f>
        <v>75.50591909434047</v>
      </c>
      <c r="K65" s="275">
        <f ca="1">IF(K6&lt;3,+K64-'ASSUM 1'!N31,K64-J64)-IF(K6='ASSUM 1'!D36,K64,0)</f>
        <v>34.348806641033889</v>
      </c>
      <c r="L65" s="275">
        <f ca="1">IF(L6&lt;3,+L64-'ASSUM 1'!N31,L64-K64)-IF(L6='ASSUM 1'!D36,L64,0)</f>
        <v>22.737100934786213</v>
      </c>
      <c r="M65" s="275">
        <f ca="1">IF(M6&lt;3,+M64-'ASSUM 1'!N31,M64-L64)-IF(M6='ASSUM 1'!D36,M64,0)</f>
        <v>35.190459134901175</v>
      </c>
      <c r="N65" s="275">
        <f ca="1">IF(N6&lt;3,+N64-'ASSUM 1'!N31,N64-M64)-IF(N6='ASSUM 1'!D36,N64,0)</f>
        <v>26.625169956970012</v>
      </c>
      <c r="O65" s="275">
        <f ca="1">IF(O6&lt;3,+O64-'ASSUM 1'!N31,O64-N64)-IF(O6='ASSUM 1'!D36,O64,0)</f>
        <v>84.428349727989144</v>
      </c>
      <c r="P65" s="275">
        <f ca="1">IF(P6&lt;3,+P64-'ASSUM 1'!N31,P64-O64)-IF(P6='ASSUM 1'!D36,P64,0)</f>
        <v>22.874214608067632</v>
      </c>
      <c r="Q65" s="275">
        <f ca="1">IF(Q6&lt;3,+Q64-'ASSUM 1'!N31,Q64-P64)-IF(Q6='ASSUM 1'!D36,Q64,0)</f>
        <v>69.458941910391786</v>
      </c>
      <c r="R65" s="275">
        <f ca="1">IF(R6&lt;3,+R64-'ASSUM 1'!N31,R64-Q64)-IF(R6='ASSUM 1'!D36,R64,0)</f>
        <v>49.737230696203369</v>
      </c>
      <c r="S65" s="275">
        <f ca="1">IF(S6&lt;3,+S64-'ASSUM 1'!N31,S64-R64)-IF(S6='ASSUM 1'!D36,S64,0)</f>
        <v>69.317092471398155</v>
      </c>
      <c r="T65" s="275">
        <f ca="1">IF(T6&lt;3,+T64-'ASSUM 1'!N31,T64-S64)-IF(T6='ASSUM 1'!D36,T64,0)</f>
        <v>45.435789634695084</v>
      </c>
      <c r="U65" s="275">
        <f ca="1">IF(U6&lt;3,+U64-'ASSUM 1'!N31,U64-T64)-IF(U6='ASSUM 1'!D36,U64,0)</f>
        <v>59.95317207325752</v>
      </c>
      <c r="V65" s="275">
        <f ca="1">IF(V6&lt;3,+V64-'ASSUM 1'!N31,V64-U64)-IF(V6='ASSUM 1'!D36,V64,0)</f>
        <v>-2225.083763750702</v>
      </c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A66" s="263"/>
      <c r="B66" s="280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B67" s="281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  <row r="178" spans="1:255" ht="15.7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  <c r="AA178" s="263"/>
      <c r="AB178" s="263"/>
      <c r="AC178" s="263"/>
      <c r="AD178" s="263"/>
      <c r="AE178" s="263"/>
      <c r="AF178" s="263"/>
      <c r="AG178" s="263"/>
      <c r="AH178" s="263"/>
      <c r="AI178" s="263"/>
      <c r="AJ178" s="263"/>
      <c r="AK178" s="263"/>
      <c r="AL178" s="263"/>
      <c r="AM178" s="263"/>
      <c r="AN178" s="263"/>
      <c r="AO178" s="263"/>
      <c r="AP178" s="263"/>
      <c r="AQ178" s="263"/>
      <c r="AR178" s="263"/>
      <c r="AS178" s="263"/>
      <c r="AT178" s="263"/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3"/>
      <c r="BN178" s="263"/>
      <c r="BO178" s="263"/>
      <c r="BP178" s="263"/>
      <c r="BQ178" s="263"/>
      <c r="BR178" s="263"/>
      <c r="BS178" s="263"/>
      <c r="BT178" s="263"/>
      <c r="BU178" s="263"/>
      <c r="BV178" s="263"/>
      <c r="BW178" s="263"/>
      <c r="BX178" s="263"/>
      <c r="BY178" s="263"/>
      <c r="BZ178" s="263"/>
      <c r="CA178" s="263"/>
      <c r="CB178" s="263"/>
      <c r="CC178" s="263"/>
      <c r="CD178" s="263"/>
      <c r="CE178" s="263"/>
      <c r="CF178" s="263"/>
      <c r="CG178" s="263"/>
      <c r="CH178" s="263"/>
      <c r="CI178" s="263"/>
      <c r="CJ178" s="263"/>
      <c r="CK178" s="263"/>
      <c r="CL178" s="263"/>
      <c r="CM178" s="263"/>
      <c r="CN178" s="263"/>
      <c r="CO178" s="263"/>
      <c r="CP178" s="263"/>
      <c r="CQ178" s="263"/>
      <c r="CR178" s="263"/>
      <c r="CS178" s="263"/>
      <c r="CT178" s="263"/>
      <c r="CU178" s="263"/>
      <c r="CV178" s="263"/>
      <c r="CW178" s="263"/>
      <c r="CX178" s="263"/>
      <c r="CY178" s="263"/>
      <c r="CZ178" s="263"/>
      <c r="DA178" s="263"/>
      <c r="DB178" s="263"/>
      <c r="DC178" s="263"/>
      <c r="DD178" s="263"/>
      <c r="DE178" s="263"/>
      <c r="DF178" s="263"/>
      <c r="DG178" s="263"/>
      <c r="DH178" s="263"/>
      <c r="DI178" s="263"/>
      <c r="DJ178" s="263"/>
      <c r="DK178" s="263"/>
      <c r="DL178" s="263"/>
      <c r="DM178" s="263"/>
      <c r="DN178" s="263"/>
      <c r="DO178" s="263"/>
      <c r="DP178" s="263"/>
      <c r="DQ178" s="263"/>
      <c r="DR178" s="263"/>
      <c r="DS178" s="263"/>
      <c r="DT178" s="263"/>
      <c r="DU178" s="263"/>
      <c r="DV178" s="263"/>
      <c r="DW178" s="263"/>
      <c r="DX178" s="263"/>
      <c r="DY178" s="263"/>
      <c r="DZ178" s="263"/>
      <c r="EA178" s="263"/>
      <c r="EB178" s="263"/>
      <c r="EC178" s="263"/>
      <c r="ED178" s="263"/>
      <c r="EE178" s="263"/>
      <c r="EF178" s="263"/>
      <c r="EG178" s="263"/>
      <c r="EH178" s="263"/>
      <c r="EI178" s="263"/>
      <c r="EJ178" s="263"/>
      <c r="EK178" s="263"/>
      <c r="EL178" s="263"/>
      <c r="EM178" s="263"/>
      <c r="EN178" s="263"/>
      <c r="EO178" s="263"/>
      <c r="EP178" s="263"/>
      <c r="EQ178" s="263"/>
      <c r="ER178" s="263"/>
      <c r="ES178" s="263"/>
      <c r="ET178" s="263"/>
      <c r="EU178" s="263"/>
      <c r="EV178" s="263"/>
      <c r="EW178" s="263"/>
      <c r="EX178" s="263"/>
      <c r="EY178" s="263"/>
      <c r="EZ178" s="263"/>
      <c r="FA178" s="263"/>
      <c r="FB178" s="263"/>
      <c r="FC178" s="263"/>
      <c r="FD178" s="263"/>
      <c r="FE178" s="263"/>
      <c r="FF178" s="263"/>
      <c r="FG178" s="263"/>
      <c r="FH178" s="263"/>
      <c r="FI178" s="263"/>
      <c r="FJ178" s="263"/>
      <c r="FK178" s="263"/>
      <c r="FL178" s="263"/>
      <c r="FM178" s="263"/>
      <c r="FN178" s="263"/>
      <c r="FO178" s="263"/>
      <c r="FP178" s="263"/>
      <c r="FQ178" s="263"/>
      <c r="FR178" s="263"/>
      <c r="FS178" s="263"/>
      <c r="FT178" s="263"/>
      <c r="FU178" s="263"/>
      <c r="FV178" s="263"/>
      <c r="FW178" s="263"/>
      <c r="FX178" s="263"/>
      <c r="FY178" s="263"/>
      <c r="FZ178" s="263"/>
      <c r="GA178" s="263"/>
      <c r="GB178" s="263"/>
      <c r="GC178" s="263"/>
      <c r="GD178" s="263"/>
      <c r="GE178" s="263"/>
      <c r="GF178" s="263"/>
      <c r="GG178" s="263"/>
      <c r="GH178" s="263"/>
      <c r="GI178" s="263"/>
      <c r="GJ178" s="263"/>
      <c r="GK178" s="263"/>
      <c r="GL178" s="263"/>
      <c r="GM178" s="263"/>
      <c r="GN178" s="263"/>
      <c r="GO178" s="263"/>
      <c r="GP178" s="263"/>
      <c r="GQ178" s="263"/>
      <c r="GR178" s="263"/>
      <c r="GS178" s="263"/>
      <c r="GT178" s="263"/>
      <c r="GU178" s="263"/>
      <c r="GV178" s="263"/>
      <c r="GW178" s="263"/>
      <c r="GX178" s="263"/>
      <c r="GY178" s="263"/>
      <c r="GZ178" s="263"/>
      <c r="HA178" s="263"/>
      <c r="HB178" s="263"/>
      <c r="HC178" s="263"/>
      <c r="HD178" s="263"/>
      <c r="HE178" s="263"/>
      <c r="HF178" s="263"/>
      <c r="HG178" s="263"/>
      <c r="HH178" s="263"/>
      <c r="HI178" s="263"/>
      <c r="HJ178" s="263"/>
      <c r="HK178" s="263"/>
      <c r="HL178" s="263"/>
      <c r="HM178" s="263"/>
      <c r="HN178" s="263"/>
      <c r="HO178" s="263"/>
      <c r="HP178" s="263"/>
      <c r="HQ178" s="263"/>
      <c r="HR178" s="263"/>
      <c r="HS178" s="263"/>
      <c r="HT178" s="263"/>
      <c r="HU178" s="263"/>
      <c r="HV178" s="263"/>
      <c r="HW178" s="263"/>
      <c r="HX178" s="263"/>
      <c r="HY178" s="263"/>
      <c r="HZ178" s="263"/>
      <c r="IA178" s="263"/>
      <c r="IB178" s="263"/>
      <c r="IC178" s="263"/>
      <c r="ID178" s="263"/>
      <c r="IE178" s="263"/>
      <c r="IF178" s="263"/>
      <c r="IG178" s="263"/>
      <c r="IH178" s="263"/>
      <c r="II178" s="263"/>
      <c r="IJ178" s="263"/>
      <c r="IK178" s="263"/>
      <c r="IL178" s="263"/>
      <c r="IM178" s="263"/>
      <c r="IN178" s="263"/>
      <c r="IO178" s="263"/>
      <c r="IP178" s="263"/>
      <c r="IQ178" s="263"/>
      <c r="IR178" s="263"/>
      <c r="IS178" s="263"/>
      <c r="IT178" s="263"/>
      <c r="IU178" s="263"/>
    </row>
    <row r="179" spans="1:255" ht="15.7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26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  <c r="BA179" s="263"/>
      <c r="BB179" s="263"/>
      <c r="BC179" s="263"/>
      <c r="BD179" s="263"/>
      <c r="BE179" s="263"/>
      <c r="BF179" s="263"/>
      <c r="BG179" s="263"/>
      <c r="BH179" s="263"/>
      <c r="BI179" s="263"/>
      <c r="BJ179" s="263"/>
      <c r="BK179" s="263"/>
      <c r="BL179" s="263"/>
      <c r="BM179" s="263"/>
      <c r="BN179" s="263"/>
      <c r="BO179" s="263"/>
      <c r="BP179" s="263"/>
      <c r="BQ179" s="263"/>
      <c r="BR179" s="263"/>
      <c r="BS179" s="263"/>
      <c r="BT179" s="263"/>
      <c r="BU179" s="263"/>
      <c r="BV179" s="263"/>
      <c r="BW179" s="263"/>
      <c r="BX179" s="263"/>
      <c r="BY179" s="263"/>
      <c r="BZ179" s="263"/>
      <c r="CA179" s="263"/>
      <c r="CB179" s="263"/>
      <c r="CC179" s="263"/>
      <c r="CD179" s="263"/>
      <c r="CE179" s="263"/>
      <c r="CF179" s="263"/>
      <c r="CG179" s="263"/>
      <c r="CH179" s="263"/>
      <c r="CI179" s="263"/>
      <c r="CJ179" s="263"/>
      <c r="CK179" s="263"/>
      <c r="CL179" s="263"/>
      <c r="CM179" s="263"/>
      <c r="CN179" s="263"/>
      <c r="CO179" s="263"/>
      <c r="CP179" s="263"/>
      <c r="CQ179" s="263"/>
      <c r="CR179" s="263"/>
      <c r="CS179" s="263"/>
      <c r="CT179" s="263"/>
      <c r="CU179" s="263"/>
      <c r="CV179" s="263"/>
      <c r="CW179" s="263"/>
      <c r="CX179" s="263"/>
      <c r="CY179" s="263"/>
      <c r="CZ179" s="263"/>
      <c r="DA179" s="263"/>
      <c r="DB179" s="263"/>
      <c r="DC179" s="263"/>
      <c r="DD179" s="263"/>
      <c r="DE179" s="263"/>
      <c r="DF179" s="263"/>
      <c r="DG179" s="263"/>
      <c r="DH179" s="263"/>
      <c r="DI179" s="263"/>
      <c r="DJ179" s="263"/>
      <c r="DK179" s="263"/>
      <c r="DL179" s="263"/>
      <c r="DM179" s="263"/>
      <c r="DN179" s="263"/>
      <c r="DO179" s="263"/>
      <c r="DP179" s="263"/>
      <c r="DQ179" s="263"/>
      <c r="DR179" s="263"/>
      <c r="DS179" s="263"/>
      <c r="DT179" s="263"/>
      <c r="DU179" s="263"/>
      <c r="DV179" s="263"/>
      <c r="DW179" s="263"/>
      <c r="DX179" s="263"/>
      <c r="DY179" s="263"/>
      <c r="DZ179" s="263"/>
      <c r="EA179" s="263"/>
      <c r="EB179" s="263"/>
      <c r="EC179" s="263"/>
      <c r="ED179" s="263"/>
      <c r="EE179" s="263"/>
      <c r="EF179" s="263"/>
      <c r="EG179" s="263"/>
      <c r="EH179" s="263"/>
      <c r="EI179" s="263"/>
      <c r="EJ179" s="263"/>
      <c r="EK179" s="263"/>
      <c r="EL179" s="263"/>
      <c r="EM179" s="263"/>
      <c r="EN179" s="263"/>
      <c r="EO179" s="263"/>
      <c r="EP179" s="263"/>
      <c r="EQ179" s="263"/>
      <c r="ER179" s="263"/>
      <c r="ES179" s="263"/>
      <c r="ET179" s="263"/>
      <c r="EU179" s="263"/>
      <c r="EV179" s="263"/>
      <c r="EW179" s="263"/>
      <c r="EX179" s="263"/>
      <c r="EY179" s="263"/>
      <c r="EZ179" s="263"/>
      <c r="FA179" s="263"/>
      <c r="FB179" s="263"/>
      <c r="FC179" s="263"/>
      <c r="FD179" s="263"/>
      <c r="FE179" s="263"/>
      <c r="FF179" s="263"/>
      <c r="FG179" s="263"/>
      <c r="FH179" s="263"/>
      <c r="FI179" s="263"/>
      <c r="FJ179" s="263"/>
      <c r="FK179" s="263"/>
      <c r="FL179" s="263"/>
      <c r="FM179" s="263"/>
      <c r="FN179" s="263"/>
      <c r="FO179" s="263"/>
      <c r="FP179" s="263"/>
      <c r="FQ179" s="263"/>
      <c r="FR179" s="263"/>
      <c r="FS179" s="263"/>
      <c r="FT179" s="263"/>
      <c r="FU179" s="263"/>
      <c r="FV179" s="263"/>
      <c r="FW179" s="263"/>
      <c r="FX179" s="263"/>
      <c r="FY179" s="263"/>
      <c r="FZ179" s="263"/>
      <c r="GA179" s="263"/>
      <c r="GB179" s="263"/>
      <c r="GC179" s="263"/>
      <c r="GD179" s="263"/>
      <c r="GE179" s="263"/>
      <c r="GF179" s="263"/>
      <c r="GG179" s="263"/>
      <c r="GH179" s="263"/>
      <c r="GI179" s="263"/>
      <c r="GJ179" s="263"/>
      <c r="GK179" s="263"/>
      <c r="GL179" s="263"/>
      <c r="GM179" s="263"/>
      <c r="GN179" s="263"/>
      <c r="GO179" s="263"/>
      <c r="GP179" s="263"/>
      <c r="GQ179" s="263"/>
      <c r="GR179" s="263"/>
      <c r="GS179" s="263"/>
      <c r="GT179" s="263"/>
      <c r="GU179" s="263"/>
      <c r="GV179" s="263"/>
      <c r="GW179" s="263"/>
      <c r="GX179" s="263"/>
      <c r="GY179" s="263"/>
      <c r="GZ179" s="263"/>
      <c r="HA179" s="263"/>
      <c r="HB179" s="263"/>
      <c r="HC179" s="263"/>
      <c r="HD179" s="263"/>
      <c r="HE179" s="263"/>
      <c r="HF179" s="263"/>
      <c r="HG179" s="263"/>
      <c r="HH179" s="263"/>
      <c r="HI179" s="263"/>
      <c r="HJ179" s="263"/>
      <c r="HK179" s="263"/>
      <c r="HL179" s="263"/>
      <c r="HM179" s="263"/>
      <c r="HN179" s="263"/>
      <c r="HO179" s="263"/>
      <c r="HP179" s="263"/>
      <c r="HQ179" s="263"/>
      <c r="HR179" s="263"/>
      <c r="HS179" s="263"/>
      <c r="HT179" s="263"/>
      <c r="HU179" s="263"/>
      <c r="HV179" s="263"/>
      <c r="HW179" s="263"/>
      <c r="HX179" s="263"/>
      <c r="HY179" s="263"/>
      <c r="HZ179" s="263"/>
      <c r="IA179" s="263"/>
      <c r="IB179" s="263"/>
      <c r="IC179" s="263"/>
      <c r="ID179" s="263"/>
      <c r="IE179" s="263"/>
      <c r="IF179" s="263"/>
      <c r="IG179" s="263"/>
      <c r="IH179" s="263"/>
      <c r="II179" s="263"/>
      <c r="IJ179" s="263"/>
      <c r="IK179" s="263"/>
      <c r="IL179" s="263"/>
      <c r="IM179" s="263"/>
      <c r="IN179" s="263"/>
      <c r="IO179" s="263"/>
      <c r="IP179" s="263"/>
      <c r="IQ179" s="263"/>
      <c r="IR179" s="263"/>
      <c r="IS179" s="263"/>
      <c r="IT179" s="263"/>
      <c r="IU179" s="263"/>
    </row>
    <row r="180" spans="1:255" ht="15.7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3"/>
      <c r="AJ180" s="263"/>
      <c r="AK180" s="263"/>
      <c r="AL180" s="263"/>
      <c r="AM180" s="263"/>
      <c r="AN180" s="263"/>
      <c r="AO180" s="263"/>
      <c r="AP180" s="263"/>
      <c r="AQ180" s="263"/>
      <c r="AR180" s="263"/>
      <c r="AS180" s="263"/>
      <c r="AT180" s="263"/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3"/>
      <c r="BN180" s="263"/>
      <c r="BO180" s="263"/>
      <c r="BP180" s="263"/>
      <c r="BQ180" s="263"/>
      <c r="BR180" s="263"/>
      <c r="BS180" s="263"/>
      <c r="BT180" s="263"/>
      <c r="BU180" s="263"/>
      <c r="BV180" s="263"/>
      <c r="BW180" s="263"/>
      <c r="BX180" s="263"/>
      <c r="BY180" s="263"/>
      <c r="BZ180" s="263"/>
      <c r="CA180" s="263"/>
      <c r="CB180" s="263"/>
      <c r="CC180" s="263"/>
      <c r="CD180" s="263"/>
      <c r="CE180" s="263"/>
      <c r="CF180" s="263"/>
      <c r="CG180" s="263"/>
      <c r="CH180" s="263"/>
      <c r="CI180" s="263"/>
      <c r="CJ180" s="263"/>
      <c r="CK180" s="263"/>
      <c r="CL180" s="263"/>
      <c r="CM180" s="263"/>
      <c r="CN180" s="263"/>
      <c r="CO180" s="263"/>
      <c r="CP180" s="263"/>
      <c r="CQ180" s="263"/>
      <c r="CR180" s="263"/>
      <c r="CS180" s="263"/>
      <c r="CT180" s="263"/>
      <c r="CU180" s="263"/>
      <c r="CV180" s="263"/>
      <c r="CW180" s="263"/>
      <c r="CX180" s="263"/>
      <c r="CY180" s="263"/>
      <c r="CZ180" s="263"/>
      <c r="DA180" s="263"/>
      <c r="DB180" s="263"/>
      <c r="DC180" s="263"/>
      <c r="DD180" s="263"/>
      <c r="DE180" s="263"/>
      <c r="DF180" s="263"/>
      <c r="DG180" s="263"/>
      <c r="DH180" s="263"/>
      <c r="DI180" s="263"/>
      <c r="DJ180" s="263"/>
      <c r="DK180" s="263"/>
      <c r="DL180" s="263"/>
      <c r="DM180" s="263"/>
      <c r="DN180" s="263"/>
      <c r="DO180" s="263"/>
      <c r="DP180" s="263"/>
      <c r="DQ180" s="263"/>
      <c r="DR180" s="263"/>
      <c r="DS180" s="263"/>
      <c r="DT180" s="263"/>
      <c r="DU180" s="263"/>
      <c r="DV180" s="263"/>
      <c r="DW180" s="263"/>
      <c r="DX180" s="263"/>
      <c r="DY180" s="263"/>
      <c r="DZ180" s="263"/>
      <c r="EA180" s="263"/>
      <c r="EB180" s="263"/>
      <c r="EC180" s="263"/>
      <c r="ED180" s="263"/>
      <c r="EE180" s="263"/>
      <c r="EF180" s="263"/>
      <c r="EG180" s="263"/>
      <c r="EH180" s="263"/>
      <c r="EI180" s="263"/>
      <c r="EJ180" s="263"/>
      <c r="EK180" s="263"/>
      <c r="EL180" s="263"/>
      <c r="EM180" s="263"/>
      <c r="EN180" s="263"/>
      <c r="EO180" s="263"/>
      <c r="EP180" s="263"/>
      <c r="EQ180" s="263"/>
      <c r="ER180" s="263"/>
      <c r="ES180" s="263"/>
      <c r="ET180" s="263"/>
      <c r="EU180" s="263"/>
      <c r="EV180" s="263"/>
      <c r="EW180" s="263"/>
      <c r="EX180" s="263"/>
      <c r="EY180" s="263"/>
      <c r="EZ180" s="263"/>
      <c r="FA180" s="263"/>
      <c r="FB180" s="263"/>
      <c r="FC180" s="263"/>
      <c r="FD180" s="263"/>
      <c r="FE180" s="263"/>
      <c r="FF180" s="263"/>
      <c r="FG180" s="263"/>
      <c r="FH180" s="263"/>
      <c r="FI180" s="263"/>
      <c r="FJ180" s="263"/>
      <c r="FK180" s="263"/>
      <c r="FL180" s="263"/>
      <c r="FM180" s="263"/>
      <c r="FN180" s="263"/>
      <c r="FO180" s="263"/>
      <c r="FP180" s="263"/>
      <c r="FQ180" s="263"/>
      <c r="FR180" s="263"/>
      <c r="FS180" s="263"/>
      <c r="FT180" s="263"/>
      <c r="FU180" s="263"/>
      <c r="FV180" s="263"/>
      <c r="FW180" s="263"/>
      <c r="FX180" s="263"/>
      <c r="FY180" s="263"/>
      <c r="FZ180" s="263"/>
      <c r="GA180" s="263"/>
      <c r="GB180" s="263"/>
      <c r="GC180" s="263"/>
      <c r="GD180" s="263"/>
      <c r="GE180" s="263"/>
      <c r="GF180" s="263"/>
      <c r="GG180" s="263"/>
      <c r="GH180" s="263"/>
      <c r="GI180" s="263"/>
      <c r="GJ180" s="263"/>
      <c r="GK180" s="263"/>
      <c r="GL180" s="263"/>
      <c r="GM180" s="263"/>
      <c r="GN180" s="263"/>
      <c r="GO180" s="263"/>
      <c r="GP180" s="263"/>
      <c r="GQ180" s="263"/>
      <c r="GR180" s="263"/>
      <c r="GS180" s="263"/>
      <c r="GT180" s="263"/>
      <c r="GU180" s="263"/>
      <c r="GV180" s="263"/>
      <c r="GW180" s="263"/>
      <c r="GX180" s="263"/>
      <c r="GY180" s="263"/>
      <c r="GZ180" s="263"/>
      <c r="HA180" s="263"/>
      <c r="HB180" s="263"/>
      <c r="HC180" s="263"/>
      <c r="HD180" s="263"/>
      <c r="HE180" s="263"/>
      <c r="HF180" s="263"/>
      <c r="HG180" s="263"/>
      <c r="HH180" s="263"/>
      <c r="HI180" s="263"/>
      <c r="HJ180" s="263"/>
      <c r="HK180" s="263"/>
      <c r="HL180" s="263"/>
      <c r="HM180" s="263"/>
      <c r="HN180" s="263"/>
      <c r="HO180" s="263"/>
      <c r="HP180" s="263"/>
      <c r="HQ180" s="263"/>
      <c r="HR180" s="263"/>
      <c r="HS180" s="263"/>
      <c r="HT180" s="263"/>
      <c r="HU180" s="263"/>
      <c r="HV180" s="263"/>
      <c r="HW180" s="263"/>
      <c r="HX180" s="263"/>
      <c r="HY180" s="263"/>
      <c r="HZ180" s="263"/>
      <c r="IA180" s="263"/>
      <c r="IB180" s="263"/>
      <c r="IC180" s="263"/>
      <c r="ID180" s="263"/>
      <c r="IE180" s="263"/>
      <c r="IF180" s="263"/>
      <c r="IG180" s="263"/>
      <c r="IH180" s="263"/>
      <c r="II180" s="263"/>
      <c r="IJ180" s="263"/>
      <c r="IK180" s="263"/>
      <c r="IL180" s="263"/>
      <c r="IM180" s="263"/>
      <c r="IN180" s="263"/>
      <c r="IO180" s="263"/>
      <c r="IP180" s="263"/>
      <c r="IQ180" s="263"/>
      <c r="IR180" s="263"/>
      <c r="IS180" s="263"/>
      <c r="IT180" s="263"/>
      <c r="IU180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21" sqref="F21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7138.8</v>
      </c>
      <c r="E24" s="736">
        <f ca="1">'144A DEBT'!E34</f>
        <v>6899.4</v>
      </c>
      <c r="F24" s="736">
        <f ca="1">'144A DEBT'!F34</f>
        <v>6659.1</v>
      </c>
      <c r="G24" s="736">
        <f ca="1">'144A DEBT'!G34</f>
        <v>6355.62</v>
      </c>
      <c r="H24" s="736">
        <f ca="1">'144A DEBT'!H34</f>
        <v>6085.08</v>
      </c>
      <c r="I24" s="736">
        <f ca="1">'144A DEBT'!I34</f>
        <v>5956.38</v>
      </c>
      <c r="J24" s="736">
        <f ca="1">'144A DEBT'!J34</f>
        <v>5556.78</v>
      </c>
      <c r="K24" s="736">
        <f ca="1">'144A DEBT'!K34</f>
        <v>4897.9799999999996</v>
      </c>
      <c r="L24" s="736">
        <f ca="1">'144A DEBT'!L34</f>
        <v>4184.28</v>
      </c>
      <c r="M24" s="736">
        <f ca="1">'144A DEBT'!M34</f>
        <v>3500.28</v>
      </c>
      <c r="N24" s="736">
        <f ca="1">'144A DEBT'!N34</f>
        <v>2825.28</v>
      </c>
      <c r="O24" s="736">
        <f ca="1">'144A DEBT'!O34</f>
        <v>2177.2800000000002</v>
      </c>
      <c r="P24" s="736">
        <f ca="1">'144A DEBT'!P34</f>
        <v>1538.28</v>
      </c>
      <c r="Q24" s="736">
        <f ca="1">'144A DEBT'!Q34</f>
        <v>935.28</v>
      </c>
      <c r="R24" s="736">
        <f ca="1">'144A DEBT'!R34</f>
        <v>377.46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76.291200000000003</v>
      </c>
      <c r="D25" s="736">
        <f ca="1">'144A DEBT'!D44</f>
        <v>75.911328000000012</v>
      </c>
      <c r="E25" s="736">
        <f ca="1">'144A DEBT'!E44</f>
        <v>82.043136000000018</v>
      </c>
      <c r="F25" s="736">
        <f ca="1">'144A DEBT'!F44</f>
        <v>87.865343999999993</v>
      </c>
      <c r="G25" s="736">
        <f ca="1">'144A DEBT'!G44</f>
        <v>91.288800000000009</v>
      </c>
      <c r="H25" s="736">
        <f ca="1">'144A DEBT'!H44</f>
        <v>99.537120000000002</v>
      </c>
      <c r="I25" s="736">
        <f ca="1">'144A DEBT'!I44</f>
        <v>101.07935999999999</v>
      </c>
      <c r="J25" s="736">
        <f ca="1">'144A DEBT'!J44</f>
        <v>95.888159999999985</v>
      </c>
      <c r="K25" s="736">
        <f ca="1">'144A DEBT'!K44</f>
        <v>88.280639999999977</v>
      </c>
      <c r="L25" s="736">
        <f ca="1">'144A DEBT'!L44</f>
        <v>80.922240000000002</v>
      </c>
      <c r="M25" s="736">
        <f ca="1">'144A DEBT'!M44</f>
        <v>72.311328000000032</v>
      </c>
      <c r="N25" s="736">
        <f ca="1">'144A DEBT'!N44</f>
        <v>54.830880000000029</v>
      </c>
      <c r="O25" s="736">
        <f ca="1">'144A DEBT'!O44</f>
        <v>47.984040000000036</v>
      </c>
      <c r="P25" s="736">
        <f ca="1">'144A DEBT'!P44</f>
        <v>39.476640000000046</v>
      </c>
      <c r="Q25" s="736">
        <f ca="1">'144A DEBT'!Q44</f>
        <v>26.673840000000066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58.318700000000007</v>
      </c>
      <c r="D27" s="736">
        <f t="shared" ca="1" si="3"/>
        <v>7124.3844186000006</v>
      </c>
      <c r="E27" s="736">
        <f t="shared" ca="1" si="3"/>
        <v>6816.8082481461997</v>
      </c>
      <c r="F27" s="736">
        <f t="shared" ca="1" si="3"/>
        <v>6506.016162274148</v>
      </c>
      <c r="G27" s="736">
        <f t="shared" ca="1" si="3"/>
        <v>6127.5848384675501</v>
      </c>
      <c r="H27" s="736">
        <f t="shared" ca="1" si="3"/>
        <v>5784.8022596061728</v>
      </c>
      <c r="I27" s="736">
        <f t="shared" ca="1" si="3"/>
        <v>5574.9803464755396</v>
      </c>
      <c r="J27" s="736">
        <f t="shared" ca="1" si="3"/>
        <v>5085.2930612103801</v>
      </c>
      <c r="K27" s="736">
        <f t="shared" ca="1" si="3"/>
        <v>4331.6972616430594</v>
      </c>
      <c r="L27" s="736">
        <f t="shared" ca="1" si="3"/>
        <v>3521.0964985274222</v>
      </c>
      <c r="M27" s="736">
        <f t="shared" ca="1" si="3"/>
        <v>2736.525579607664</v>
      </c>
      <c r="N27" s="736">
        <f t="shared" ca="1" si="3"/>
        <v>1949.6022045010704</v>
      </c>
      <c r="O27" s="736">
        <f t="shared" ca="1" si="3"/>
        <v>2225.26404</v>
      </c>
      <c r="P27" s="736">
        <f t="shared" ca="1" si="3"/>
        <v>1478.1449459357905</v>
      </c>
      <c r="Q27" s="736">
        <f t="shared" ca="1" si="3"/>
        <v>760.04093613184693</v>
      </c>
      <c r="R27" s="736">
        <f t="shared" ca="1" si="3"/>
        <v>70.483753663197092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10073.583711789115</v>
      </c>
      <c r="D29" s="736">
        <f t="shared" ca="1" si="4"/>
        <v>20814.142843159461</v>
      </c>
      <c r="E29" s="736">
        <f t="shared" ca="1" si="4"/>
        <v>19904.869110230549</v>
      </c>
      <c r="F29" s="736">
        <f t="shared" ca="1" si="4"/>
        <v>21394.369197227668</v>
      </c>
      <c r="G29" s="736">
        <f t="shared" ca="1" si="4"/>
        <v>22179.114634017293</v>
      </c>
      <c r="H29" s="736">
        <f t="shared" ca="1" si="4"/>
        <v>14021.735633022514</v>
      </c>
      <c r="I29" s="736">
        <f t="shared" ca="1" si="4"/>
        <v>21116.179808077737</v>
      </c>
      <c r="J29" s="736">
        <f t="shared" ca="1" si="4"/>
        <v>29307.555035005367</v>
      </c>
      <c r="K29" s="736">
        <f t="shared" ca="1" si="4"/>
        <v>30474.580625956827</v>
      </c>
      <c r="L29" s="736">
        <f t="shared" ca="1" si="4"/>
        <v>29049.477982589182</v>
      </c>
      <c r="M29" s="736">
        <f t="shared" ca="1" si="4"/>
        <v>30435.04611861565</v>
      </c>
      <c r="N29" s="736">
        <f t="shared" ca="1" si="4"/>
        <v>29350.677575846283</v>
      </c>
      <c r="O29" s="736">
        <f t="shared" ca="1" si="4"/>
        <v>28862.723684893579</v>
      </c>
      <c r="P29" s="736">
        <f t="shared" ca="1" si="4"/>
        <v>26422.651951447529</v>
      </c>
      <c r="Q29" s="736">
        <f t="shared" ca="1" si="4"/>
        <v>32469.596404357275</v>
      </c>
      <c r="R29" s="736">
        <f t="shared" ca="1" si="4"/>
        <v>38701.262251351873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6766.5585696642547</v>
      </c>
      <c r="D33" s="742">
        <f t="shared" ca="1" si="5"/>
        <v>15144.956885231129</v>
      </c>
      <c r="E33" s="742">
        <f t="shared" ca="1" si="5"/>
        <v>14235.683152302217</v>
      </c>
      <c r="F33" s="742">
        <f t="shared" ca="1" si="5"/>
        <v>15725.183239299336</v>
      </c>
      <c r="G33" s="742">
        <f t="shared" ca="1" si="5"/>
        <v>16509.928676088959</v>
      </c>
      <c r="H33" s="742">
        <f t="shared" ca="1" si="5"/>
        <v>8352.549675094182</v>
      </c>
      <c r="I33" s="742">
        <f t="shared" ca="1" si="5"/>
        <v>15446.993850149405</v>
      </c>
      <c r="J33" s="742">
        <f t="shared" ca="1" si="5"/>
        <v>23638.369077077034</v>
      </c>
      <c r="K33" s="742">
        <f t="shared" ca="1" si="5"/>
        <v>24805.394668028493</v>
      </c>
      <c r="L33" s="742">
        <f t="shared" ca="1" si="5"/>
        <v>23380.292024660848</v>
      </c>
      <c r="M33" s="742">
        <f t="shared" ca="1" si="5"/>
        <v>24765.86016068732</v>
      </c>
      <c r="N33" s="742">
        <f t="shared" ca="1" si="5"/>
        <v>23681.491617917949</v>
      </c>
      <c r="O33" s="742">
        <f t="shared" ca="1" si="5"/>
        <v>23193.537726965245</v>
      </c>
      <c r="P33" s="742">
        <f t="shared" ca="1" si="5"/>
        <v>20753.465993519196</v>
      </c>
      <c r="Q33" s="742">
        <f t="shared" ca="1" si="5"/>
        <v>26800.410446428941</v>
      </c>
      <c r="R33" s="742">
        <f t="shared" ca="1" si="5"/>
        <v>33032.076293423539</v>
      </c>
      <c r="S33" s="742">
        <f t="shared" ca="1" si="5"/>
        <v>38967.154996766491</v>
      </c>
      <c r="T33" s="742">
        <f t="shared" ca="1" si="5"/>
        <v>39568.010847249025</v>
      </c>
      <c r="U33" s="742">
        <f t="shared" ca="1" si="5"/>
        <v>41594.533186194567</v>
      </c>
      <c r="V33" s="744">
        <f t="shared" ca="1" si="5"/>
        <v>33422.027390774201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249.83406468896442</v>
      </c>
      <c r="E35" s="736">
        <f ca="1">TAXES!E14</f>
        <v>281.68944468548443</v>
      </c>
      <c r="F35" s="736">
        <f ca="1">TAXES!F14</f>
        <v>448.37527451206603</v>
      </c>
      <c r="G35" s="736">
        <f ca="1">TAXES!G14</f>
        <v>565.49904183379738</v>
      </c>
      <c r="H35" s="736">
        <f ca="1">TAXES!H14</f>
        <v>274.62462351066887</v>
      </c>
      <c r="I35" s="736">
        <f ca="1">TAXES!I14</f>
        <v>730.30800592013418</v>
      </c>
      <c r="J35" s="736">
        <f ca="1">TAXES!J14</f>
        <v>1221.7905195357921</v>
      </c>
      <c r="K35" s="736">
        <f ca="1">TAXES!K14</f>
        <v>1290.9024570563295</v>
      </c>
      <c r="L35" s="736">
        <f ca="1">TAXES!L14</f>
        <v>1206.3058963908209</v>
      </c>
      <c r="M35" s="736">
        <f ca="1">TAXES!M14</f>
        <v>1288.530386615859</v>
      </c>
      <c r="N35" s="736">
        <f ca="1">TAXES!N14</f>
        <v>1224.3778719862469</v>
      </c>
      <c r="O35" s="736">
        <f ca="1">TAXES!O14</f>
        <v>1194.1910405925346</v>
      </c>
      <c r="P35" s="736">
        <f ca="1">TAXES!P14</f>
        <v>1048.6963345223216</v>
      </c>
      <c r="Q35" s="736">
        <f ca="1">TAXES!Q14</f>
        <v>1410.6034037603563</v>
      </c>
      <c r="R35" s="736">
        <f ca="1">TAXES!R14</f>
        <v>2053.7443437988472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2254.3658679541527</v>
      </c>
      <c r="D36" s="752">
        <f ca="1">(+D33-D35)*TAXES!C26</f>
        <v>5213.2929871897577</v>
      </c>
      <c r="E36" s="752">
        <f ca="1">(+E33-E35)*TAXES!C26</f>
        <v>4883.8977976658562</v>
      </c>
      <c r="F36" s="752">
        <f ca="1">(+F33-F35)*TAXES!C26</f>
        <v>5346.8827876755449</v>
      </c>
      <c r="G36" s="752">
        <f ca="1">(+G33-G35)*TAXES!C26</f>
        <v>5580.5503719893068</v>
      </c>
      <c r="H36" s="752">
        <f ca="1">(+H33-H35)*TAXES!C26</f>
        <v>2827.2737680542295</v>
      </c>
      <c r="I36" s="752">
        <f ca="1">(+I33-I35)*TAXES!C26</f>
        <v>5150.840045480244</v>
      </c>
      <c r="J36" s="752">
        <f ca="1">(+J33-J35)*TAXES!C26</f>
        <v>7845.8024951394336</v>
      </c>
      <c r="K36" s="752">
        <f ca="1">(+K33-K35)*TAXES!C26</f>
        <v>8230.0722738402565</v>
      </c>
      <c r="L36" s="752">
        <f ca="1">(+L33-L35)*TAXES!C26</f>
        <v>7760.8951448945081</v>
      </c>
      <c r="M36" s="752">
        <f ca="1">(+M33-M35)*TAXES!C26</f>
        <v>8217.0654209250115</v>
      </c>
      <c r="N36" s="752">
        <f ca="1">(+N33-N35)*TAXES!C26</f>
        <v>7859.989811076096</v>
      </c>
      <c r="O36" s="752">
        <f ca="1">(+O33-O35)*TAXES!C26</f>
        <v>7699.7713402304489</v>
      </c>
      <c r="P36" s="752">
        <f ca="1">(+P33-P35)*TAXES!C26</f>
        <v>6896.6693806489047</v>
      </c>
      <c r="Q36" s="752">
        <f ca="1">(+Q33-Q35)*TAXES!C26</f>
        <v>8886.4324649340033</v>
      </c>
      <c r="R36" s="752">
        <f ca="1">(+R33-R35)*TAXES!C26</f>
        <v>10842.416182368641</v>
      </c>
      <c r="S36" s="752">
        <f ca="1">(+S33-S35)*TAXES!C26</f>
        <v>12701.141088819679</v>
      </c>
      <c r="T36" s="752">
        <f ca="1">(+T33-T35)*TAXES!C26</f>
        <v>12898.822663628433</v>
      </c>
      <c r="U36" s="752">
        <f ca="1">(+U33-U35)*TAXES!C26</f>
        <v>13565.548513141517</v>
      </c>
      <c r="V36" s="754">
        <f ca="1">(+V33-V35)*TAXES!C26</f>
        <v>10876.794106448217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2579.8791006065417</v>
      </c>
      <c r="D37" s="736">
        <f t="shared" ca="1" si="6"/>
        <v>5463.1270518787223</v>
      </c>
      <c r="E37" s="736">
        <f t="shared" ca="1" si="6"/>
        <v>5165.587242351341</v>
      </c>
      <c r="F37" s="736">
        <f t="shared" ca="1" si="6"/>
        <v>5795.2580621876114</v>
      </c>
      <c r="G37" s="736">
        <f t="shared" ca="1" si="6"/>
        <v>6146.0494138231043</v>
      </c>
      <c r="H37" s="736">
        <f t="shared" ca="1" si="6"/>
        <v>3101.8983915648982</v>
      </c>
      <c r="I37" s="736">
        <f t="shared" ca="1" si="6"/>
        <v>5881.1480514003779</v>
      </c>
      <c r="J37" s="736">
        <f t="shared" ca="1" si="6"/>
        <v>9067.5930146752253</v>
      </c>
      <c r="K37" s="736">
        <f t="shared" ca="1" si="6"/>
        <v>9520.9747308965852</v>
      </c>
      <c r="L37" s="736">
        <f t="shared" ca="1" si="6"/>
        <v>8967.2010412853288</v>
      </c>
      <c r="M37" s="736">
        <f t="shared" ca="1" si="6"/>
        <v>9505.5958075408707</v>
      </c>
      <c r="N37" s="736">
        <f t="shared" ca="1" si="6"/>
        <v>9084.3676830623426</v>
      </c>
      <c r="O37" s="736">
        <f t="shared" ca="1" si="6"/>
        <v>8893.9623808229844</v>
      </c>
      <c r="P37" s="736">
        <f t="shared" ca="1" si="6"/>
        <v>7945.3657151712268</v>
      </c>
      <c r="Q37" s="736">
        <f t="shared" ca="1" si="6"/>
        <v>10297.03586869436</v>
      </c>
      <c r="R37" s="736">
        <f t="shared" ca="1" si="6"/>
        <v>12896.160526167489</v>
      </c>
      <c r="S37" s="736">
        <f t="shared" ca="1" si="6"/>
        <v>15379.321546101368</v>
      </c>
      <c r="T37" s="736">
        <f t="shared" ca="1" si="6"/>
        <v>15613.054471939075</v>
      </c>
      <c r="U37" s="736">
        <f t="shared" ca="1" si="6"/>
        <v>16401.371661788889</v>
      </c>
      <c r="V37" s="737">
        <f t="shared" ca="1" si="6"/>
        <v>13222.266907370369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4186.6794690577135</v>
      </c>
      <c r="D39" s="756">
        <f t="shared" ca="1" si="7"/>
        <v>9681.8298333524071</v>
      </c>
      <c r="E39" s="756">
        <f t="shared" ca="1" si="7"/>
        <v>9070.0959099508764</v>
      </c>
      <c r="F39" s="756">
        <f t="shared" ca="1" si="7"/>
        <v>9929.9251771117251</v>
      </c>
      <c r="G39" s="756">
        <f t="shared" ca="1" si="7"/>
        <v>10363.879262265855</v>
      </c>
      <c r="H39" s="756">
        <f t="shared" ca="1" si="7"/>
        <v>5250.6512835292833</v>
      </c>
      <c r="I39" s="756">
        <f t="shared" ca="1" si="7"/>
        <v>9565.8457987490274</v>
      </c>
      <c r="J39" s="756">
        <f t="shared" ca="1" si="7"/>
        <v>14570.776062401808</v>
      </c>
      <c r="K39" s="756">
        <f t="shared" ca="1" si="7"/>
        <v>15284.419937131908</v>
      </c>
      <c r="L39" s="756">
        <f t="shared" ca="1" si="7"/>
        <v>14413.090983375519</v>
      </c>
      <c r="M39" s="756">
        <f t="shared" ca="1" si="7"/>
        <v>15260.264353146449</v>
      </c>
      <c r="N39" s="756">
        <f t="shared" ca="1" si="7"/>
        <v>14597.123934855606</v>
      </c>
      <c r="O39" s="756">
        <f t="shared" ca="1" si="7"/>
        <v>14299.575346142261</v>
      </c>
      <c r="P39" s="756">
        <f t="shared" ca="1" si="7"/>
        <v>12808.100278347969</v>
      </c>
      <c r="Q39" s="756">
        <f t="shared" ca="1" si="7"/>
        <v>16503.374577734583</v>
      </c>
      <c r="R39" s="756">
        <f t="shared" ca="1" si="7"/>
        <v>20135.91576725605</v>
      </c>
      <c r="S39" s="756">
        <f t="shared" ca="1" si="7"/>
        <v>23587.833450665123</v>
      </c>
      <c r="T39" s="756">
        <f t="shared" ca="1" si="7"/>
        <v>23954.95637530995</v>
      </c>
      <c r="U39" s="756">
        <f t="shared" ca="1" si="7"/>
        <v>25193.161524405677</v>
      </c>
      <c r="V39" s="757">
        <f t="shared" ca="1" si="7"/>
        <v>20199.760483403832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36" sqref="C36"/>
    </sheetView>
  </sheetViews>
  <sheetFormatPr defaultColWidth="9.77734375" defaultRowHeight="15.75"/>
  <cols>
    <col min="1" max="1" width="20.77734375" style="317" customWidth="1"/>
    <col min="2" max="2" width="10.4414062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CSHFLO!A1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2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2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'Co IS'!C24</f>
        <v>0</v>
      </c>
      <c r="D26" s="327">
        <f ca="1">'Co IS'!D24</f>
        <v>7138.8</v>
      </c>
      <c r="E26" s="327">
        <f ca="1">'Co IS'!E24</f>
        <v>6899.4</v>
      </c>
      <c r="F26" s="327">
        <f ca="1">'Co IS'!F24</f>
        <v>6659.1</v>
      </c>
      <c r="G26" s="327">
        <f ca="1">'Co IS'!G24</f>
        <v>6355.62</v>
      </c>
      <c r="H26" s="327">
        <f ca="1">'Co IS'!H24</f>
        <v>6085.08</v>
      </c>
      <c r="I26" s="327">
        <f ca="1">'Co IS'!I24</f>
        <v>5956.38</v>
      </c>
      <c r="J26" s="327">
        <f ca="1">'Co IS'!J24</f>
        <v>5556.78</v>
      </c>
      <c r="K26" s="327">
        <f ca="1">'Co IS'!K24</f>
        <v>4897.9799999999996</v>
      </c>
      <c r="L26" s="327">
        <f ca="1">'Co IS'!L24</f>
        <v>4184.28</v>
      </c>
      <c r="M26" s="327">
        <f ca="1">'Co IS'!M24</f>
        <v>3500.28</v>
      </c>
      <c r="N26" s="327">
        <f ca="1">'Co IS'!N24</f>
        <v>2825.28</v>
      </c>
      <c r="O26" s="327">
        <f ca="1">'Co IS'!O24</f>
        <v>2177.2800000000002</v>
      </c>
      <c r="P26" s="327">
        <f ca="1">'Co IS'!P24</f>
        <v>1538.28</v>
      </c>
      <c r="Q26" s="327">
        <f ca="1">'Co IS'!Q24</f>
        <v>935.28</v>
      </c>
      <c r="R26" s="327">
        <f ca="1">'Co IS'!R24</f>
        <v>377.46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2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23">
      <c r="A28" s="326" t="s">
        <v>294</v>
      </c>
      <c r="C28" s="327">
        <f ca="1">'Co IS'!C25</f>
        <v>76.291200000000003</v>
      </c>
      <c r="D28" s="327">
        <f ca="1">'Co IS'!D25</f>
        <v>75.911328000000012</v>
      </c>
      <c r="E28" s="327">
        <f ca="1">'Co IS'!E25</f>
        <v>82.043136000000018</v>
      </c>
      <c r="F28" s="327">
        <f ca="1">'Co IS'!F25</f>
        <v>87.865343999999993</v>
      </c>
      <c r="G28" s="327">
        <f ca="1">'Co IS'!G25</f>
        <v>91.288800000000009</v>
      </c>
      <c r="H28" s="327">
        <f ca="1">'Co IS'!H25</f>
        <v>99.537120000000002</v>
      </c>
      <c r="I28" s="327">
        <f ca="1">'Co IS'!I25</f>
        <v>101.07935999999999</v>
      </c>
      <c r="J28" s="327">
        <f ca="1">'Co IS'!J25</f>
        <v>95.888159999999985</v>
      </c>
      <c r="K28" s="327">
        <f ca="1">'Co IS'!K25</f>
        <v>88.280639999999977</v>
      </c>
      <c r="L28" s="327">
        <f ca="1">'Co IS'!L25</f>
        <v>80.922240000000002</v>
      </c>
      <c r="M28" s="327">
        <f ca="1">'Co IS'!M25</f>
        <v>72.311328000000032</v>
      </c>
      <c r="N28" s="327">
        <f ca="1">'Co IS'!N25</f>
        <v>54.830880000000029</v>
      </c>
      <c r="O28" s="327">
        <f ca="1">'Co IS'!O25</f>
        <v>47.984040000000036</v>
      </c>
      <c r="P28" s="327">
        <f ca="1">'Co IS'!P25</f>
        <v>39.476640000000046</v>
      </c>
      <c r="Q28" s="327">
        <f ca="1">'Co IS'!Q25</f>
        <v>26.673840000000066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58.318700000000007</v>
      </c>
      <c r="D30" s="327">
        <f t="shared" ca="1" si="3"/>
        <v>10184.384418599999</v>
      </c>
      <c r="E30" s="327">
        <f t="shared" ca="1" si="3"/>
        <v>9606.8082481462006</v>
      </c>
      <c r="F30" s="327">
        <f t="shared" ca="1" si="3"/>
        <v>10151.016162274147</v>
      </c>
      <c r="G30" s="327">
        <f t="shared" ca="1" si="3"/>
        <v>10366.584838467548</v>
      </c>
      <c r="H30" s="327">
        <f t="shared" ca="1" si="3"/>
        <v>6594.8022596061728</v>
      </c>
      <c r="I30" s="327">
        <f t="shared" ca="1" si="3"/>
        <v>9579.9803464755405</v>
      </c>
      <c r="J30" s="327">
        <f t="shared" ca="1" si="3"/>
        <v>13050.293061210379</v>
      </c>
      <c r="K30" s="327">
        <f t="shared" ca="1" si="3"/>
        <v>13376.697261643061</v>
      </c>
      <c r="L30" s="327">
        <f t="shared" ca="1" si="3"/>
        <v>12071.096498527422</v>
      </c>
      <c r="M30" s="327">
        <f t="shared" ca="1" si="3"/>
        <v>11286.525579607664</v>
      </c>
      <c r="N30" s="327">
        <f t="shared" ca="1" si="3"/>
        <v>10049.60220450107</v>
      </c>
      <c r="O30" s="327">
        <f t="shared" ca="1" si="3"/>
        <v>10325.26404</v>
      </c>
      <c r="P30" s="327">
        <f t="shared" ca="1" si="3"/>
        <v>9128.1449459357918</v>
      </c>
      <c r="Q30" s="327">
        <f t="shared" ca="1" si="3"/>
        <v>7960.040936131847</v>
      </c>
      <c r="R30" s="327">
        <f t="shared" ca="1" si="3"/>
        <v>6361.4837536632131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+'Co IS'!C35</f>
        <v>325.51323265238909</v>
      </c>
      <c r="D32" s="327">
        <f ca="1">+'Co IS'!D35</f>
        <v>249.83406468896442</v>
      </c>
      <c r="E32" s="327">
        <f ca="1">+'Co IS'!E35</f>
        <v>281.68944468548443</v>
      </c>
      <c r="F32" s="327">
        <f ca="1">+'Co IS'!F35</f>
        <v>448.37527451206603</v>
      </c>
      <c r="G32" s="327">
        <f ca="1">+'Co IS'!G35</f>
        <v>565.49904183379738</v>
      </c>
      <c r="H32" s="327">
        <f ca="1">+'Co IS'!H35</f>
        <v>274.62462351066887</v>
      </c>
      <c r="I32" s="327">
        <f ca="1">+'Co IS'!I35</f>
        <v>730.30800592013418</v>
      </c>
      <c r="J32" s="327">
        <f ca="1">+'Co IS'!J35</f>
        <v>1221.7905195357921</v>
      </c>
      <c r="K32" s="327">
        <f ca="1">+'Co IS'!K35</f>
        <v>1290.9024570563295</v>
      </c>
      <c r="L32" s="327">
        <f ca="1">+'Co IS'!L35</f>
        <v>1206.3058963908209</v>
      </c>
      <c r="M32" s="327">
        <f ca="1">+'Co IS'!M35</f>
        <v>1288.530386615859</v>
      </c>
      <c r="N32" s="327">
        <f ca="1">+'Co IS'!N35</f>
        <v>1224.3778719862469</v>
      </c>
      <c r="O32" s="327">
        <f ca="1">+'Co IS'!O35</f>
        <v>1194.1910405925346</v>
      </c>
      <c r="P32" s="327">
        <f ca="1">+'Co IS'!P35</f>
        <v>1048.6963345223216</v>
      </c>
      <c r="Q32" s="327">
        <f ca="1">+'Co IS'!Q35</f>
        <v>1410.6034037603563</v>
      </c>
      <c r="R32" s="327">
        <f ca="1">+'Co IS'!R35</f>
        <v>2053.7443437988472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1341.8580880993732</v>
      </c>
      <c r="E33" s="328">
        <f ca="1">TAXES!E33</f>
        <v>1544.5971216920732</v>
      </c>
      <c r="F33" s="328">
        <f ca="1">TAXES!F33</f>
        <v>2458.5910885744952</v>
      </c>
      <c r="G33" s="328">
        <f ca="1">TAXES!G33</f>
        <v>3100.8197460553224</v>
      </c>
      <c r="H33" s="328">
        <f ca="1">TAXES!H33</f>
        <v>1505.8583522501674</v>
      </c>
      <c r="I33" s="328">
        <f ca="1">TAXES!I33</f>
        <v>4004.522232462069</v>
      </c>
      <c r="J33" s="328">
        <f ca="1">TAXES!J33</f>
        <v>6699.4846821212595</v>
      </c>
      <c r="K33" s="328">
        <f ca="1">TAXES!K33</f>
        <v>7078.4484728588732</v>
      </c>
      <c r="L33" s="328">
        <f ca="1">TAXES!L33</f>
        <v>6614.577331876334</v>
      </c>
      <c r="M33" s="328">
        <f ca="1">TAXES!M33</f>
        <v>7065.4416199436264</v>
      </c>
      <c r="N33" s="328">
        <f ca="1">TAXES!N33</f>
        <v>6713.671998057921</v>
      </c>
      <c r="O33" s="328">
        <f ca="1">TAXES!O33</f>
        <v>6548.1475392490656</v>
      </c>
      <c r="P33" s="328">
        <f ca="1">TAXES!P33</f>
        <v>5750.3515676307306</v>
      </c>
      <c r="Q33" s="328">
        <f ca="1">TAXES!Q33</f>
        <v>7734.8086639526209</v>
      </c>
      <c r="R33" s="328">
        <f ca="1">TAXES!R33</f>
        <v>11261.364818497012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1591.6921527883376</v>
      </c>
      <c r="E34" s="327">
        <f t="shared" ca="1" si="4"/>
        <v>1826.2865663775576</v>
      </c>
      <c r="F34" s="327">
        <f t="shared" ca="1" si="4"/>
        <v>2906.9663630865612</v>
      </c>
      <c r="G34" s="327">
        <f t="shared" ca="1" si="4"/>
        <v>3666.3187878891199</v>
      </c>
      <c r="H34" s="327">
        <f t="shared" ca="1" si="4"/>
        <v>1780.4829757608363</v>
      </c>
      <c r="I34" s="327">
        <f t="shared" ca="1" si="4"/>
        <v>4734.8302383822029</v>
      </c>
      <c r="J34" s="327">
        <f t="shared" ca="1" si="4"/>
        <v>7921.2752016570521</v>
      </c>
      <c r="K34" s="327">
        <f t="shared" ca="1" si="4"/>
        <v>8369.3509299152029</v>
      </c>
      <c r="L34" s="327">
        <f t="shared" ca="1" si="4"/>
        <v>7820.8832282671547</v>
      </c>
      <c r="M34" s="327">
        <f t="shared" ca="1" si="4"/>
        <v>8353.9720065594847</v>
      </c>
      <c r="N34" s="327">
        <f t="shared" ca="1" si="4"/>
        <v>7938.0498700441676</v>
      </c>
      <c r="O34" s="327">
        <f t="shared" ca="1" si="4"/>
        <v>7742.3385798416002</v>
      </c>
      <c r="P34" s="327">
        <f t="shared" ca="1" si="4"/>
        <v>6799.0479021530518</v>
      </c>
      <c r="Q34" s="327">
        <f t="shared" ca="1" si="4"/>
        <v>9145.4120677129777</v>
      </c>
      <c r="R34" s="327">
        <f t="shared" ca="1" si="4"/>
        <v>13315.109162295859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9748.0704791367261</v>
      </c>
      <c r="D36" s="335">
        <f t="shared" ca="1" si="5"/>
        <v>16162.450690371124</v>
      </c>
      <c r="E36" s="335">
        <f t="shared" ca="1" si="5"/>
        <v>15166.634183835127</v>
      </c>
      <c r="F36" s="335">
        <f t="shared" ca="1" si="5"/>
        <v>14789.240525125479</v>
      </c>
      <c r="G36" s="335">
        <f t="shared" ca="1" si="5"/>
        <v>14290.568077662259</v>
      </c>
      <c r="H36" s="335">
        <f t="shared" ca="1" si="5"/>
        <v>11452.386235443799</v>
      </c>
      <c r="I36" s="335">
        <f t="shared" ca="1" si="5"/>
        <v>12298.329740331965</v>
      </c>
      <c r="J36" s="335">
        <f t="shared" ca="1" si="5"/>
        <v>13345.773914253972</v>
      </c>
      <c r="K36" s="335">
        <f t="shared" ca="1" si="5"/>
        <v>13025.880889400585</v>
      </c>
      <c r="L36" s="335">
        <f t="shared" ca="1" si="5"/>
        <v>12655.85765338724</v>
      </c>
      <c r="M36" s="335">
        <f t="shared" ca="1" si="5"/>
        <v>13495.883652921264</v>
      </c>
      <c r="N36" s="335">
        <f t="shared" ca="1" si="5"/>
        <v>13286.002535845146</v>
      </c>
      <c r="O36" s="335">
        <f t="shared" ca="1" si="5"/>
        <v>12935.956755323989</v>
      </c>
      <c r="P36" s="335">
        <f t="shared" ca="1" si="5"/>
        <v>11950.729834686408</v>
      </c>
      <c r="Q36" s="335">
        <f t="shared" ca="1" si="5"/>
        <v>16054.725394733903</v>
      </c>
      <c r="R36" s="335">
        <f t="shared" ca="1" si="5"/>
        <v>19045.415858359793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5482.1105682788766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7138.8</v>
      </c>
      <c r="E44" s="685">
        <f ca="1">'144A DEBT'!E34</f>
        <v>6899.4</v>
      </c>
      <c r="F44" s="685">
        <f ca="1">'144A DEBT'!F34</f>
        <v>6659.1</v>
      </c>
      <c r="G44" s="685">
        <f ca="1">'144A DEBT'!G34</f>
        <v>6355.62</v>
      </c>
      <c r="H44" s="685">
        <f ca="1">'144A DEBT'!H34</f>
        <v>6085.08</v>
      </c>
      <c r="I44" s="685">
        <f ca="1">'144A DEBT'!I34</f>
        <v>5956.38</v>
      </c>
      <c r="J44" s="685">
        <f ca="1">'144A DEBT'!J34</f>
        <v>5556.78</v>
      </c>
      <c r="K44" s="685">
        <f ca="1">'144A DEBT'!K34</f>
        <v>4897.9799999999996</v>
      </c>
      <c r="L44" s="685">
        <f ca="1">'144A DEBT'!L34</f>
        <v>4184.28</v>
      </c>
      <c r="M44" s="685">
        <f ca="1">'144A DEBT'!M34</f>
        <v>3500.28</v>
      </c>
      <c r="N44" s="685">
        <f ca="1">'144A DEBT'!N34</f>
        <v>2825.28</v>
      </c>
      <c r="O44" s="685">
        <f ca="1">'144A DEBT'!O34</f>
        <v>2177.2800000000002</v>
      </c>
      <c r="P44" s="685">
        <f ca="1">'144A DEBT'!P34</f>
        <v>1538.28</v>
      </c>
      <c r="Q44" s="685">
        <f ca="1">'144A DEBT'!Q34</f>
        <v>935.28</v>
      </c>
      <c r="R44" s="685">
        <f ca="1">'144A DEBT'!R34</f>
        <v>377.46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10198.799999999999</v>
      </c>
      <c r="E46" s="685">
        <f t="shared" ca="1" si="8"/>
        <v>9689.4</v>
      </c>
      <c r="F46" s="685">
        <f t="shared" ca="1" si="8"/>
        <v>10304.1</v>
      </c>
      <c r="G46" s="685">
        <f t="shared" ca="1" si="8"/>
        <v>10594.619999999999</v>
      </c>
      <c r="H46" s="685">
        <f t="shared" ca="1" si="8"/>
        <v>6895.08</v>
      </c>
      <c r="I46" s="685">
        <f t="shared" ca="1" si="8"/>
        <v>9961.380000000001</v>
      </c>
      <c r="J46" s="685">
        <f t="shared" ca="1" si="8"/>
        <v>13521.779999999999</v>
      </c>
      <c r="K46" s="685">
        <f t="shared" ca="1" si="8"/>
        <v>13942.98</v>
      </c>
      <c r="L46" s="685">
        <f t="shared" ca="1" si="8"/>
        <v>12734.279999999999</v>
      </c>
      <c r="M46" s="685">
        <f t="shared" ca="1" si="8"/>
        <v>12050.28</v>
      </c>
      <c r="N46" s="685">
        <f t="shared" ca="1" si="8"/>
        <v>10925.28</v>
      </c>
      <c r="O46" s="685">
        <f t="shared" ca="1" si="8"/>
        <v>10277.280000000001</v>
      </c>
      <c r="P46" s="685">
        <f t="shared" ca="1" si="8"/>
        <v>9188.2800000000007</v>
      </c>
      <c r="Q46" s="685">
        <f t="shared" ca="1" si="8"/>
        <v>8135.28</v>
      </c>
      <c r="R46" s="685">
        <f t="shared" ca="1" si="8"/>
        <v>6668.4600000000164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10198.799999999999</v>
      </c>
      <c r="E49" s="690">
        <f t="shared" ca="1" si="9"/>
        <v>9689.4</v>
      </c>
      <c r="F49" s="690">
        <f t="shared" ca="1" si="9"/>
        <v>10304.1</v>
      </c>
      <c r="G49" s="690">
        <f t="shared" ca="1" si="9"/>
        <v>10594.619999999999</v>
      </c>
      <c r="H49" s="690">
        <f t="shared" ca="1" si="9"/>
        <v>6895.08</v>
      </c>
      <c r="I49" s="690">
        <f t="shared" ca="1" si="9"/>
        <v>9961.380000000001</v>
      </c>
      <c r="J49" s="690">
        <f t="shared" ca="1" si="9"/>
        <v>13521.779999999999</v>
      </c>
      <c r="K49" s="690">
        <f t="shared" ca="1" si="9"/>
        <v>13942.98</v>
      </c>
      <c r="L49" s="690">
        <f t="shared" ca="1" si="9"/>
        <v>12734.279999999999</v>
      </c>
      <c r="M49" s="690">
        <f t="shared" ca="1" si="9"/>
        <v>12050.28</v>
      </c>
      <c r="N49" s="690">
        <f t="shared" ca="1" si="9"/>
        <v>10925.28</v>
      </c>
      <c r="O49" s="690">
        <f t="shared" ca="1" si="9"/>
        <v>10277.280000000001</v>
      </c>
      <c r="P49" s="690">
        <f t="shared" ca="1" si="9"/>
        <v>9188.2800000000007</v>
      </c>
      <c r="Q49" s="690">
        <f t="shared" ca="1" si="9"/>
        <v>8135.28</v>
      </c>
      <c r="R49" s="690">
        <f t="shared" ca="1" si="9"/>
        <v>6668.4600000000164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2.7393935817703516</v>
      </c>
      <c r="E52" s="693">
        <f t="shared" ca="1" si="10"/>
        <v>2.7452400559744552</v>
      </c>
      <c r="F52" s="693">
        <f t="shared" ca="1" si="10"/>
        <v>2.7025381207952357</v>
      </c>
      <c r="G52" s="693">
        <f t="shared" ca="1" si="10"/>
        <v>2.6733825001764036</v>
      </c>
      <c r="H52" s="693">
        <f t="shared" ca="1" si="10"/>
        <v>2.8756260218606324</v>
      </c>
      <c r="I52" s="693">
        <f t="shared" ca="1" si="10"/>
        <v>2.6716318748195236</v>
      </c>
      <c r="J52" s="693">
        <f t="shared" ca="1" si="10"/>
        <v>2.5379308180669562</v>
      </c>
      <c r="K52" s="693">
        <f t="shared" ca="1" si="10"/>
        <v>2.4938663815740143</v>
      </c>
      <c r="L52" s="693">
        <f t="shared" ca="1" si="10"/>
        <v>2.5559228617701053</v>
      </c>
      <c r="M52" s="693">
        <f t="shared" ca="1" si="10"/>
        <v>2.7498432599979759</v>
      </c>
      <c r="N52" s="693">
        <f t="shared" ca="1" si="10"/>
        <v>2.8625037171029377</v>
      </c>
      <c r="O52" s="693">
        <f t="shared" ca="1" si="10"/>
        <v>3.0167086403372863</v>
      </c>
      <c r="P52" s="693">
        <f t="shared" ca="1" si="10"/>
        <v>3.034074133872199</v>
      </c>
      <c r="Q52" s="693">
        <f t="shared" ca="1" si="10"/>
        <v>4.0760955245029953</v>
      </c>
      <c r="R52" s="693">
        <f t="shared" ca="1" si="10"/>
        <v>5.8067393032752346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3.0360997863930876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2.4938663815740143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2.7393935817703516</v>
      </c>
      <c r="E57" s="693">
        <f t="shared" ca="1" si="11"/>
        <v>2.7452400559744552</v>
      </c>
      <c r="F57" s="693">
        <f t="shared" ca="1" si="11"/>
        <v>2.7025381207952357</v>
      </c>
      <c r="G57" s="693">
        <f t="shared" ca="1" si="11"/>
        <v>2.6733825001764036</v>
      </c>
      <c r="H57" s="693">
        <f t="shared" ca="1" si="11"/>
        <v>2.8756260218606324</v>
      </c>
      <c r="I57" s="693">
        <f t="shared" ca="1" si="11"/>
        <v>2.6716318748195236</v>
      </c>
      <c r="J57" s="693">
        <f t="shared" ca="1" si="11"/>
        <v>2.5379308180669562</v>
      </c>
      <c r="K57" s="693">
        <f t="shared" ca="1" si="11"/>
        <v>2.4938663815740143</v>
      </c>
      <c r="L57" s="693">
        <f t="shared" ca="1" si="11"/>
        <v>2.5559228617701053</v>
      </c>
      <c r="M57" s="693">
        <f t="shared" ca="1" si="11"/>
        <v>2.7498432599979759</v>
      </c>
      <c r="N57" s="693">
        <f t="shared" ca="1" si="11"/>
        <v>2.8625037171029377</v>
      </c>
      <c r="O57" s="693">
        <f t="shared" ca="1" si="11"/>
        <v>3.0167086403372863</v>
      </c>
      <c r="P57" s="693">
        <f t="shared" ca="1" si="11"/>
        <v>3.034074133872199</v>
      </c>
      <c r="Q57" s="693">
        <f t="shared" ca="1" si="11"/>
        <v>4.0760955245029953</v>
      </c>
      <c r="R57" s="693">
        <f ca="1">IF(R49&gt;1,(R13-R21)/R49,0)</f>
        <v>5.8067393032752346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IDC'!H69-H8</f>
        <v>-8630.5196917428566</v>
      </c>
      <c r="I3" s="774">
        <f ca="1">-'144A IDC'!I69</f>
        <v>43768.236040782307</v>
      </c>
      <c r="J3" s="774">
        <f ca="1">-'144A IDC'!J69</f>
        <v>48.355779518811751</v>
      </c>
      <c r="K3" s="774">
        <f ca="1">-'144A IDC'!K69</f>
        <v>24.686247591136759</v>
      </c>
      <c r="L3" s="774">
        <f ca="1">-'144A IDC'!L69</f>
        <v>-2635.5859608490764</v>
      </c>
      <c r="M3" s="774">
        <f ca="1">-'144A IDC'!M69</f>
        <v>-6524.1159865002192</v>
      </c>
      <c r="N3" s="774">
        <f ca="1">-'144A IDC'!N69</f>
        <v>-9676.1917296340453</v>
      </c>
      <c r="O3" s="774">
        <f ca="1">-'144A IDC'!O69</f>
        <v>-13276.191729634045</v>
      </c>
      <c r="P3" s="774">
        <f ca="1">-'144A IDC'!P69</f>
        <v>-17079.673269017472</v>
      </c>
      <c r="Q3" s="774">
        <f ca="1">-'144A IDC'!Q69</f>
        <v>-11400.25751562318</v>
      </c>
      <c r="R3" s="774">
        <f ca="1">-'144A IDC'!R69</f>
        <v>-11400.25751562318</v>
      </c>
      <c r="S3" s="774">
        <f ca="1">-'144A IDC'!S69</f>
        <v>-13096.322166017002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9864.891729136727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16349.137723371125</v>
      </c>
      <c r="U4" s="776">
        <f ca="1">CSHFLO!E36+0.5*OandM!E11*(1-TAXES!E26-'ASSUM 1'!$N$40)</f>
        <v>15358.361766726128</v>
      </c>
      <c r="V4" s="776">
        <f ca="1">CSHFLO!F36+0.5*OandM!F11*(1-TAXES!F26-'ASSUM 1'!$N$40)</f>
        <v>14986.144752754535</v>
      </c>
      <c r="W4" s="776">
        <f ca="1">CSHFLO!G36+0.5*OandM!G11*(1-TAXES!G26-'ASSUM 1'!$N$40)</f>
        <v>14492.788719437302</v>
      </c>
      <c r="X4" s="776">
        <f ca="1">CSHFLO!H36+0.5*OandM!H11*(1-TAXES!H26-'ASSUM 1'!$N$40)</f>
        <v>11660.066834546766</v>
      </c>
      <c r="Y4" s="776">
        <f ca="1">CSHFLO!I36+0.5*OandM!I11*(1-TAXES!I26-'ASSUM 1'!$N$40)</f>
        <v>12511.617715610713</v>
      </c>
      <c r="Z4" s="776">
        <f ca="1">CSHFLO!J36+0.5*OandM!J11*(1-TAXES!J26-'ASSUM 1'!$N$40)</f>
        <v>13564.820664865247</v>
      </c>
      <c r="AA4" s="776">
        <f ca="1">CSHFLO!K36+0.5*OandM!K11*(1-TAXES!K26-'ASSUM 1'!$N$40)</f>
        <v>13250.841902278364</v>
      </c>
      <c r="AB4" s="776">
        <f ca="1">CSHFLO!L36+0.5*OandM!L11*(1-TAXES!L26-'ASSUM 1'!$N$40)</f>
        <v>12886.892613612717</v>
      </c>
      <c r="AC4" s="776">
        <f ca="1">CSHFLO!M36+0.5*OandM!M11*(1-TAXES!M26-'ASSUM 1'!$N$40)</f>
        <v>13733.156557072831</v>
      </c>
      <c r="AD4" s="776">
        <f ca="1">CSHFLO!N36+0.5*OandM!N11*(1-TAXES!N26-'ASSUM 1'!$N$40)</f>
        <v>13529.681808408804</v>
      </c>
      <c r="AE4" s="776">
        <f ca="1">CSHFLO!O36+0.5*OandM!O11*(1-TAXES!O26-'ASSUM 1'!$N$40)</f>
        <v>13186.215368246865</v>
      </c>
      <c r="AF4" s="776">
        <f ca="1">CSHFLO!P36+0.5*OandM!P11*(1-TAXES!P26-'ASSUM 1'!$N$40)</f>
        <v>12207.745430158204</v>
      </c>
      <c r="AG4" s="776">
        <f ca="1">CSHFLO!Q36+0.5*OandM!Q11*(1-TAXES!Q26-'ASSUM 1'!$N$40)</f>
        <v>16318.680411283436</v>
      </c>
      <c r="AH4" s="776">
        <f ca="1">CSHFLO!R36+0.5*OandM!R11*(1-TAXES!R26-'ASSUM 1'!$N$40)</f>
        <v>19316.497660356163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43768.236040782307</v>
      </c>
      <c r="J5" s="774">
        <f t="shared" ca="1" si="0"/>
        <v>48.355779518811751</v>
      </c>
      <c r="K5" s="774">
        <f t="shared" ca="1" si="0"/>
        <v>24.686247591136759</v>
      </c>
      <c r="L5" s="774">
        <f t="shared" ca="1" si="0"/>
        <v>-2635.5859608490764</v>
      </c>
      <c r="M5" s="774">
        <f t="shared" ca="1" si="0"/>
        <v>-6524.1159865002192</v>
      </c>
      <c r="N5" s="774">
        <f t="shared" ca="1" si="0"/>
        <v>-9676.1917296340453</v>
      </c>
      <c r="O5" s="774">
        <f t="shared" ca="1" si="0"/>
        <v>-3411.3000004973183</v>
      </c>
      <c r="P5" s="774">
        <f t="shared" ca="1" si="0"/>
        <v>-17079.673269017472</v>
      </c>
      <c r="Q5" s="774">
        <f t="shared" ca="1" si="0"/>
        <v>-11400.25751562318</v>
      </c>
      <c r="R5" s="774">
        <f t="shared" ca="1" si="0"/>
        <v>-11400.25751562318</v>
      </c>
      <c r="S5" s="774">
        <f t="shared" ca="1" si="0"/>
        <v>-13096.322166017002</v>
      </c>
      <c r="T5" s="774">
        <f t="shared" ca="1" si="0"/>
        <v>16349.137723371125</v>
      </c>
      <c r="U5" s="774">
        <f t="shared" ca="1" si="0"/>
        <v>15358.361766726128</v>
      </c>
      <c r="V5" s="774">
        <f t="shared" ca="1" si="0"/>
        <v>14986.144752754535</v>
      </c>
      <c r="W5" s="774">
        <f t="shared" ca="1" si="0"/>
        <v>14492.788719437302</v>
      </c>
      <c r="X5" s="774">
        <f t="shared" ca="1" si="0"/>
        <v>11660.066834546766</v>
      </c>
      <c r="Y5" s="774">
        <f t="shared" ca="1" si="0"/>
        <v>12511.617715610713</v>
      </c>
      <c r="Z5" s="774">
        <f t="shared" ca="1" si="0"/>
        <v>13564.820664865247</v>
      </c>
      <c r="AA5" s="774">
        <f t="shared" ca="1" si="0"/>
        <v>13250.841902278364</v>
      </c>
      <c r="AB5" s="774">
        <f t="shared" ca="1" si="0"/>
        <v>12886.892613612717</v>
      </c>
      <c r="AC5" s="774">
        <f t="shared" ca="1" si="0"/>
        <v>13733.156557072831</v>
      </c>
      <c r="AD5" s="774">
        <f t="shared" ca="1" si="0"/>
        <v>13529.681808408804</v>
      </c>
      <c r="AE5" s="774">
        <f t="shared" ca="1" si="0"/>
        <v>13186.215368246865</v>
      </c>
      <c r="AF5" s="774">
        <f t="shared" ca="1" si="0"/>
        <v>12207.745430158204</v>
      </c>
      <c r="AG5" s="774">
        <f t="shared" ca="1" si="0"/>
        <v>16318.680411283436</v>
      </c>
      <c r="AH5" s="774">
        <f t="shared" ca="1" si="0"/>
        <v>19316.497660356163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37988.777079788051</v>
      </c>
      <c r="H7" s="97" t="s">
        <v>464</v>
      </c>
    </row>
    <row r="8" spans="1:39">
      <c r="A8" t="s">
        <v>419</v>
      </c>
      <c r="B8" s="119">
        <f ca="1">XIRR(D$5:AL$5,D$1:AL$1)</f>
        <v>0.19978734850883484</v>
      </c>
      <c r="H8">
        <v>0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"/>
    </sheetView>
  </sheetViews>
  <sheetFormatPr defaultRowHeight="15.75"/>
  <cols>
    <col min="1" max="1" width="9.77734375" customWidth="1"/>
    <col min="3" max="3" width="10.6640625" bestFit="1" customWidth="1"/>
    <col min="4" max="4" width="11.77734375" customWidth="1"/>
  </cols>
  <sheetData>
    <row r="1" spans="1:7">
      <c r="A1" t="s">
        <v>479</v>
      </c>
    </row>
    <row r="2" spans="1:7" ht="31.5">
      <c r="C2" s="97" t="s">
        <v>450</v>
      </c>
      <c r="D2" s="826" t="s">
        <v>459</v>
      </c>
    </row>
    <row r="3" spans="1:7">
      <c r="A3" t="s">
        <v>445</v>
      </c>
      <c r="C3">
        <f>'ENA Assumptions'!B4</f>
        <v>20</v>
      </c>
      <c r="D3">
        <f>'ASSUM 1'!S32</f>
        <v>15</v>
      </c>
    </row>
    <row r="4" spans="1:7">
      <c r="A4" t="s">
        <v>449</v>
      </c>
      <c r="C4" s="119">
        <f>'ASSUM 1'!$S39</f>
        <v>6.5000000000000002E-2</v>
      </c>
      <c r="D4" s="119">
        <v>6.5000000000000002E-2</v>
      </c>
    </row>
    <row r="5" spans="1:7">
      <c r="A5" t="s">
        <v>448</v>
      </c>
      <c r="C5" s="811">
        <f>D5</f>
        <v>1.4999999999999999E-2</v>
      </c>
      <c r="D5" s="811">
        <f>'ASSUM 1'!S40</f>
        <v>1.4999999999999999E-2</v>
      </c>
    </row>
    <row r="6" spans="1:7">
      <c r="A6" t="s">
        <v>446</v>
      </c>
      <c r="C6" s="119">
        <f>SUM(C4:C5)</f>
        <v>0.08</v>
      </c>
      <c r="D6" s="119">
        <f>SUM(D4:D5)</f>
        <v>0.08</v>
      </c>
    </row>
    <row r="7" spans="1:7">
      <c r="A7" t="s">
        <v>453</v>
      </c>
      <c r="C7" s="817">
        <f>'ENA IDC'!C41*1000</f>
        <v>2700.3374999999996</v>
      </c>
      <c r="D7" s="817">
        <f>'144A IDC'!C41*1000</f>
        <v>2700</v>
      </c>
      <c r="E7" s="839">
        <f>C7-D7</f>
        <v>0.3374999999996362</v>
      </c>
    </row>
    <row r="8" spans="1:7">
      <c r="A8" t="s">
        <v>442</v>
      </c>
      <c r="C8" s="813">
        <f ca="1">'ENA Debt'!B53</f>
        <v>12.566373301686355</v>
      </c>
      <c r="D8" s="813">
        <f ca="1">'144A DEBT'!B53</f>
        <v>9.5399000000000029</v>
      </c>
      <c r="F8" s="773"/>
      <c r="G8" s="827"/>
    </row>
    <row r="9" spans="1:7">
      <c r="A9" t="s">
        <v>452</v>
      </c>
      <c r="B9" s="119">
        <v>0.12</v>
      </c>
      <c r="C9" s="774">
        <f ca="1">'ENE FCF'!C7</f>
        <v>54511.266294128232</v>
      </c>
      <c r="D9" s="774">
        <f ca="1">'144A FCF'!C7</f>
        <v>37988.777079788051</v>
      </c>
      <c r="E9" s="774"/>
      <c r="F9" s="773"/>
      <c r="G9" s="827"/>
    </row>
    <row r="10" spans="1:7">
      <c r="A10" t="s">
        <v>447</v>
      </c>
      <c r="C10" s="119">
        <f ca="1">'ENE FCF'!B8</f>
        <v>0.31914007067680372</v>
      </c>
      <c r="D10" s="119">
        <f ca="1">'144A FCF'!B8</f>
        <v>0.19978734850883484</v>
      </c>
      <c r="F10" s="773"/>
      <c r="G10" s="827"/>
    </row>
    <row r="11" spans="1:7">
      <c r="F11" s="773"/>
      <c r="G11" s="827"/>
    </row>
    <row r="12" spans="1:7">
      <c r="F12" s="773"/>
      <c r="G12" s="827"/>
    </row>
    <row r="13" spans="1:7">
      <c r="F13" s="773"/>
      <c r="G13" s="827"/>
    </row>
    <row r="14" spans="1:7">
      <c r="F14" s="773"/>
      <c r="G14" s="827"/>
    </row>
    <row r="15" spans="1:7">
      <c r="F15" s="773"/>
      <c r="G15" s="827"/>
    </row>
    <row r="16" spans="1:7">
      <c r="F16" s="773"/>
      <c r="G16" s="827"/>
    </row>
    <row r="17" spans="6:7">
      <c r="F17" s="773"/>
      <c r="G17" s="827"/>
    </row>
    <row r="18" spans="6:7">
      <c r="F18" s="773"/>
      <c r="G18" s="827"/>
    </row>
    <row r="19" spans="6:7">
      <c r="F19" s="773"/>
      <c r="G19" s="827"/>
    </row>
    <row r="20" spans="6:7">
      <c r="F20" s="773"/>
      <c r="G20" s="827"/>
    </row>
    <row r="21" spans="6:7">
      <c r="F21" s="773"/>
      <c r="G21" s="827"/>
    </row>
    <row r="22" spans="6:7">
      <c r="F22" s="773"/>
      <c r="G22" s="827"/>
    </row>
    <row r="23" spans="6:7">
      <c r="F23" s="773"/>
      <c r="G23" s="827"/>
    </row>
    <row r="24" spans="6:7">
      <c r="F24" s="773"/>
      <c r="G24" s="827"/>
    </row>
    <row r="25" spans="6:7">
      <c r="F25" s="773"/>
      <c r="G25" s="827"/>
    </row>
    <row r="26" spans="6:7">
      <c r="F26" s="773"/>
      <c r="G26" s="827"/>
    </row>
    <row r="27" spans="6:7">
      <c r="F27" s="773"/>
      <c r="G27" s="827"/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opLeftCell="H25" workbookViewId="0">
      <selection activeCell="J34" sqref="J34"/>
    </sheetView>
  </sheetViews>
  <sheetFormatPr defaultColWidth="7.109375" defaultRowHeight="12.75"/>
  <cols>
    <col min="1" max="1" width="26.88671875" style="830" customWidth="1"/>
    <col min="2" max="2" width="4.77734375" style="830" customWidth="1"/>
    <col min="3" max="3" width="8.6640625" style="830" customWidth="1"/>
    <col min="4" max="4" width="10.88671875" style="830" customWidth="1"/>
    <col min="5" max="5" width="8.6640625" style="830" customWidth="1"/>
    <col min="6" max="7" width="11.77734375" style="830" customWidth="1"/>
    <col min="8" max="8" width="10.109375" style="830" customWidth="1"/>
    <col min="9" max="9" width="13.5546875" style="830" customWidth="1"/>
    <col min="10" max="10" width="14.5546875" style="830" customWidth="1"/>
    <col min="11" max="11" width="8.6640625" style="830" customWidth="1"/>
    <col min="12" max="12" width="8.5546875" style="830" customWidth="1"/>
    <col min="13" max="13" width="8.33203125" style="830" customWidth="1"/>
    <col min="14" max="16384" width="7.109375" style="830"/>
  </cols>
  <sheetData>
    <row r="2" spans="1:10">
      <c r="A2" s="829" t="s">
        <v>460</v>
      </c>
    </row>
    <row r="4" spans="1:10">
      <c r="C4" s="831" t="s">
        <v>461</v>
      </c>
      <c r="D4" s="831" t="s">
        <v>462</v>
      </c>
      <c r="E4" s="831" t="s">
        <v>463</v>
      </c>
      <c r="F4" s="831" t="s">
        <v>462</v>
      </c>
      <c r="G4" s="831"/>
      <c r="H4" s="832" t="s">
        <v>464</v>
      </c>
      <c r="I4" s="832" t="s">
        <v>462</v>
      </c>
      <c r="J4" s="832" t="s">
        <v>462</v>
      </c>
    </row>
    <row r="5" spans="1:10">
      <c r="B5" s="833"/>
      <c r="C5" s="834">
        <v>0.08</v>
      </c>
      <c r="D5" s="835">
        <v>0.1628</v>
      </c>
      <c r="E5" s="834">
        <v>0.09</v>
      </c>
      <c r="F5" s="835">
        <v>0.156</v>
      </c>
      <c r="G5" s="835"/>
      <c r="H5" s="831" t="s">
        <v>465</v>
      </c>
      <c r="I5" s="831" t="s">
        <v>461</v>
      </c>
      <c r="J5" s="831" t="s">
        <v>463</v>
      </c>
    </row>
    <row r="6" spans="1:10">
      <c r="A6" s="830" t="s">
        <v>466</v>
      </c>
      <c r="F6" s="835"/>
      <c r="G6" s="835"/>
      <c r="H6" s="836">
        <v>1</v>
      </c>
      <c r="I6" s="835">
        <v>0.20039999999999999</v>
      </c>
      <c r="J6" s="835">
        <v>0.19289999999999999</v>
      </c>
    </row>
    <row r="7" spans="1:10">
      <c r="A7" s="830" t="s">
        <v>467</v>
      </c>
      <c r="F7" s="835"/>
      <c r="G7" s="835"/>
      <c r="H7" s="836">
        <v>2</v>
      </c>
      <c r="I7" s="835">
        <v>0.1973</v>
      </c>
      <c r="J7" s="835">
        <v>0.19</v>
      </c>
    </row>
    <row r="8" spans="1:10">
      <c r="A8" s="830" t="s">
        <v>468</v>
      </c>
      <c r="F8" s="835"/>
      <c r="G8" s="835"/>
      <c r="H8" s="836">
        <v>3</v>
      </c>
      <c r="I8" s="835">
        <v>0.1943</v>
      </c>
      <c r="J8" s="835">
        <v>0.187</v>
      </c>
    </row>
    <row r="9" spans="1:10">
      <c r="A9" s="830" t="s">
        <v>469</v>
      </c>
      <c r="F9" s="835"/>
      <c r="G9" s="835"/>
      <c r="H9" s="836">
        <v>4</v>
      </c>
      <c r="I9" s="835">
        <v>0.1913</v>
      </c>
      <c r="J9" s="835">
        <v>0.18429999999999999</v>
      </c>
    </row>
    <row r="10" spans="1:10">
      <c r="A10" s="830" t="s">
        <v>470</v>
      </c>
      <c r="F10" s="835"/>
      <c r="G10" s="835"/>
      <c r="H10" s="836">
        <v>5</v>
      </c>
      <c r="I10" s="835">
        <v>0.1885</v>
      </c>
      <c r="J10" s="835">
        <v>0.18160000000000001</v>
      </c>
    </row>
    <row r="11" spans="1:10">
      <c r="F11" s="835"/>
      <c r="G11" s="835"/>
      <c r="H11" s="836">
        <v>6</v>
      </c>
      <c r="I11" s="835">
        <v>0.1857</v>
      </c>
      <c r="J11" s="835">
        <v>0.1789</v>
      </c>
    </row>
    <row r="12" spans="1:10">
      <c r="A12" s="830" t="s">
        <v>471</v>
      </c>
      <c r="F12" s="835"/>
      <c r="G12" s="835"/>
      <c r="H12" s="836">
        <v>7</v>
      </c>
      <c r="I12" s="835">
        <v>0.183</v>
      </c>
      <c r="J12" s="835">
        <v>0.1764</v>
      </c>
    </row>
    <row r="13" spans="1:10">
      <c r="F13" s="835"/>
      <c r="G13" s="835"/>
      <c r="H13" s="836">
        <v>8</v>
      </c>
      <c r="I13" s="835">
        <v>0.1804</v>
      </c>
      <c r="J13" s="835">
        <v>0.1739</v>
      </c>
    </row>
    <row r="14" spans="1:10">
      <c r="F14" s="835"/>
      <c r="G14" s="835"/>
      <c r="H14" s="836">
        <v>9</v>
      </c>
      <c r="I14" s="835">
        <v>0.17780000000000001</v>
      </c>
      <c r="J14" s="835">
        <v>0.1714</v>
      </c>
    </row>
    <row r="15" spans="1:10">
      <c r="F15" s="835"/>
      <c r="G15" s="835"/>
      <c r="H15" s="836">
        <v>10</v>
      </c>
      <c r="I15" s="835">
        <v>0.17530000000000001</v>
      </c>
      <c r="J15" s="835">
        <v>0.16900000000000001</v>
      </c>
    </row>
    <row r="16" spans="1:10">
      <c r="F16" s="835"/>
      <c r="G16" s="835"/>
      <c r="H16" s="837"/>
    </row>
    <row r="17" spans="6:10">
      <c r="F17" s="835"/>
      <c r="G17" s="835"/>
      <c r="H17" s="837"/>
    </row>
    <row r="18" spans="6:10">
      <c r="F18" s="835"/>
      <c r="G18" s="835"/>
      <c r="H18" s="837" t="s">
        <v>472</v>
      </c>
    </row>
    <row r="19" spans="6:10">
      <c r="F19" s="835"/>
      <c r="G19" s="835"/>
      <c r="H19" s="837" t="s">
        <v>475</v>
      </c>
    </row>
    <row r="20" spans="6:10">
      <c r="F20" s="835"/>
      <c r="G20" s="835"/>
      <c r="H20" s="837" t="s">
        <v>474</v>
      </c>
    </row>
    <row r="21" spans="6:10">
      <c r="F21" s="835"/>
      <c r="G21" s="835"/>
      <c r="H21" s="837" t="s">
        <v>476</v>
      </c>
    </row>
    <row r="22" spans="6:10">
      <c r="F22" s="835"/>
      <c r="G22" s="835"/>
      <c r="H22" s="830" t="s">
        <v>473</v>
      </c>
    </row>
    <row r="23" spans="6:10">
      <c r="F23" s="835"/>
      <c r="G23" s="835"/>
    </row>
    <row r="24" spans="6:10">
      <c r="F24" s="835"/>
      <c r="G24" s="835"/>
    </row>
    <row r="25" spans="6:10">
      <c r="F25" s="835"/>
      <c r="G25" s="835"/>
    </row>
    <row r="26" spans="6:10">
      <c r="F26" s="835"/>
      <c r="G26" s="835"/>
    </row>
    <row r="27" spans="6:10">
      <c r="F27" s="838"/>
      <c r="G27" s="838"/>
    </row>
    <row r="28" spans="6:10">
      <c r="F28" s="838"/>
      <c r="G28" s="838"/>
    </row>
    <row r="30" spans="6:10">
      <c r="H30" s="832" t="s">
        <v>464</v>
      </c>
      <c r="I30" s="832" t="s">
        <v>462</v>
      </c>
      <c r="J30" s="832" t="s">
        <v>462</v>
      </c>
    </row>
    <row r="31" spans="6:10">
      <c r="H31" s="831"/>
      <c r="I31" s="831" t="s">
        <v>461</v>
      </c>
      <c r="J31" s="831" t="s">
        <v>463</v>
      </c>
    </row>
    <row r="32" spans="6:10">
      <c r="H32" s="836">
        <v>5</v>
      </c>
      <c r="I32" s="835">
        <v>0.185</v>
      </c>
      <c r="J32" s="835">
        <v>0.1782</v>
      </c>
    </row>
    <row r="33" spans="8:10">
      <c r="H33" s="836">
        <v>6</v>
      </c>
      <c r="I33" s="835">
        <v>0.18229999999999999</v>
      </c>
      <c r="J33" s="835">
        <v>0.17560000000000001</v>
      </c>
    </row>
    <row r="34" spans="8:10">
      <c r="H34" s="836">
        <v>8</v>
      </c>
      <c r="I34" s="835">
        <v>0.17710000000000001</v>
      </c>
      <c r="J34" s="835">
        <v>0.17069999999999999</v>
      </c>
    </row>
    <row r="35" spans="8:10">
      <c r="H35" s="836">
        <v>10</v>
      </c>
      <c r="I35" s="835">
        <v>0.17219999999999999</v>
      </c>
      <c r="J35" s="835">
        <v>0.16600000000000001</v>
      </c>
    </row>
    <row r="36" spans="8:10">
      <c r="H36" s="836">
        <v>12</v>
      </c>
      <c r="I36" s="835">
        <v>0.16750000000000001</v>
      </c>
      <c r="J36" s="835">
        <v>0.1615</v>
      </c>
    </row>
    <row r="37" spans="8:10">
      <c r="H37" s="836">
        <v>14</v>
      </c>
      <c r="I37" s="835">
        <v>0.16300000000000001</v>
      </c>
      <c r="J37" s="835">
        <v>0.15720000000000001</v>
      </c>
    </row>
    <row r="38" spans="8:10">
      <c r="H38" s="836">
        <v>16</v>
      </c>
      <c r="I38" s="835">
        <v>0.15870000000000001</v>
      </c>
      <c r="J38" s="835">
        <v>0.15310000000000001</v>
      </c>
    </row>
    <row r="39" spans="8:10">
      <c r="H39" s="836">
        <v>18</v>
      </c>
      <c r="I39" s="835">
        <v>0.1547</v>
      </c>
      <c r="J39" s="835">
        <v>0.1492</v>
      </c>
    </row>
    <row r="40" spans="8:10">
      <c r="H40" s="836">
        <v>20</v>
      </c>
      <c r="I40" s="835">
        <v>0.15079999999999999</v>
      </c>
      <c r="J40" s="835">
        <v>0.14549999999999999</v>
      </c>
    </row>
    <row r="41" spans="8:10">
      <c r="H41" s="836">
        <v>22</v>
      </c>
      <c r="I41" s="835">
        <v>0.14699999999999999</v>
      </c>
      <c r="J41" s="835">
        <v>0.1419</v>
      </c>
    </row>
    <row r="42" spans="8:10">
      <c r="H42" s="836">
        <v>24</v>
      </c>
      <c r="I42" s="835">
        <v>0.1434</v>
      </c>
      <c r="J42" s="835">
        <v>0.1384</v>
      </c>
    </row>
    <row r="43" spans="8:10">
      <c r="H43" s="836">
        <v>26</v>
      </c>
      <c r="I43" s="835">
        <v>0.14000000000000001</v>
      </c>
      <c r="J43" s="835">
        <v>0.1351</v>
      </c>
    </row>
    <row r="44" spans="8:10">
      <c r="H44" s="836">
        <v>28</v>
      </c>
      <c r="I44" s="835">
        <v>0.13669999999999999</v>
      </c>
      <c r="J44" s="835">
        <v>0.13189999999999999</v>
      </c>
    </row>
    <row r="45" spans="8:10">
      <c r="H45" s="836">
        <v>30</v>
      </c>
      <c r="I45" s="835">
        <v>0.13350000000000001</v>
      </c>
      <c r="J45" s="835">
        <v>0.12889999999999999</v>
      </c>
    </row>
    <row r="49" spans="8:8">
      <c r="H49" s="837" t="s">
        <v>472</v>
      </c>
    </row>
    <row r="50" spans="8:8">
      <c r="H50" s="837" t="s">
        <v>475</v>
      </c>
    </row>
    <row r="51" spans="8:8">
      <c r="H51" s="837" t="s">
        <v>474</v>
      </c>
    </row>
    <row r="52" spans="8:8">
      <c r="H52" s="837" t="s">
        <v>476</v>
      </c>
    </row>
    <row r="53" spans="8:8">
      <c r="H53" s="830" t="s">
        <v>473</v>
      </c>
    </row>
  </sheetData>
  <pageMargins left="0.75" right="0.75" top="1" bottom="1" header="0.5" footer="0.5"/>
  <pageSetup scale="96" orientation="landscape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zoomScaleSheetLayoutView="100" workbookViewId="0">
      <selection activeCell="B3" sqref="B3"/>
    </sheetView>
  </sheetViews>
  <sheetFormatPr defaultRowHeight="15.75"/>
  <cols>
    <col min="1" max="1" width="15.109375" bestFit="1" customWidth="1"/>
    <col min="8" max="8" width="6.6640625" customWidth="1"/>
  </cols>
  <sheetData>
    <row r="1" spans="1:12">
      <c r="A1" t="s">
        <v>443</v>
      </c>
    </row>
    <row r="2" spans="1:12">
      <c r="A2" s="349" t="s">
        <v>394</v>
      </c>
      <c r="B2" s="243">
        <f>315*375</f>
        <v>118125</v>
      </c>
    </row>
    <row r="3" spans="1:12">
      <c r="A3" s="349" t="s">
        <v>396</v>
      </c>
      <c r="B3" s="766">
        <f>'ENA-144A Comparison'!C6</f>
        <v>0.08</v>
      </c>
    </row>
    <row r="4" spans="1:12">
      <c r="A4" s="349" t="s">
        <v>397</v>
      </c>
      <c r="B4">
        <v>20</v>
      </c>
    </row>
    <row r="5" spans="1:12">
      <c r="A5" s="349" t="s">
        <v>399</v>
      </c>
    </row>
    <row r="6" spans="1:12">
      <c r="A6" s="349" t="s">
        <v>400</v>
      </c>
      <c r="B6">
        <v>1</v>
      </c>
    </row>
    <row r="8" spans="1:12" ht="16.5" thickBot="1"/>
    <row r="9" spans="1:12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12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  <c r="I10">
        <f>SUM(I11:I26)</f>
        <v>9.7899000000000029</v>
      </c>
    </row>
    <row r="11" spans="1:12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2">
        <v>0</v>
      </c>
      <c r="I11">
        <f>H11*J11</f>
        <v>0</v>
      </c>
      <c r="J11">
        <v>0.5</v>
      </c>
      <c r="K11">
        <f>J11*C11</f>
        <v>0</v>
      </c>
      <c r="L11">
        <f>SUM(K11:K31)</f>
        <v>12.716366635012058</v>
      </c>
    </row>
    <row r="12" spans="1:12">
      <c r="A12" s="49">
        <f t="shared" ref="A12:A27" si="0">A11+1</f>
        <v>2001</v>
      </c>
      <c r="B12" s="8"/>
      <c r="C12" s="75">
        <v>1.6811114531048641E-2</v>
      </c>
      <c r="D12" s="765">
        <v>0.7</v>
      </c>
      <c r="E12" s="765">
        <f t="shared" ref="E12:E31" si="1">1-D12</f>
        <v>0.30000000000000004</v>
      </c>
      <c r="F12" s="770"/>
      <c r="G12">
        <v>2001</v>
      </c>
      <c r="H12" s="812">
        <v>3.4000000000000002E-2</v>
      </c>
      <c r="I12">
        <f t="shared" ref="I12:I26" si="2">H12*J12</f>
        <v>5.1000000000000004E-2</v>
      </c>
      <c r="J12">
        <v>1.5</v>
      </c>
      <c r="K12">
        <f t="shared" ref="K12:K31" si="3">J12*C12</f>
        <v>2.5216671796572963E-2</v>
      </c>
    </row>
    <row r="13" spans="1:12">
      <c r="A13" s="49">
        <f t="shared" si="0"/>
        <v>2002</v>
      </c>
      <c r="B13" s="8"/>
      <c r="C13" s="75">
        <v>1.8792763884475275E-2</v>
      </c>
      <c r="D13" s="765">
        <v>0.7</v>
      </c>
      <c r="E13" s="765">
        <f t="shared" si="1"/>
        <v>0.30000000000000004</v>
      </c>
      <c r="F13" s="770"/>
      <c r="G13">
        <v>2002</v>
      </c>
      <c r="H13" s="812">
        <v>3.1E-2</v>
      </c>
      <c r="I13">
        <f t="shared" si="2"/>
        <v>7.7499999999999999E-2</v>
      </c>
      <c r="J13">
        <v>2.5</v>
      </c>
      <c r="K13">
        <f t="shared" si="3"/>
        <v>4.6981909711188187E-2</v>
      </c>
    </row>
    <row r="14" spans="1:12">
      <c r="A14" s="49">
        <f t="shared" si="0"/>
        <v>2003</v>
      </c>
      <c r="B14" s="8"/>
      <c r="C14" s="75">
        <v>2.3359748406237193E-2</v>
      </c>
      <c r="D14" s="765">
        <v>0.7</v>
      </c>
      <c r="E14" s="765">
        <f t="shared" si="1"/>
        <v>0.30000000000000004</v>
      </c>
      <c r="F14" s="770"/>
      <c r="G14">
        <v>2003</v>
      </c>
      <c r="H14" s="812">
        <v>4.0500000000000001E-2</v>
      </c>
      <c r="I14">
        <f t="shared" si="2"/>
        <v>0.14175000000000001</v>
      </c>
      <c r="J14">
        <v>3.5</v>
      </c>
      <c r="K14">
        <f t="shared" si="3"/>
        <v>8.1759119421830173E-2</v>
      </c>
    </row>
    <row r="15" spans="1:12">
      <c r="A15" s="49">
        <f t="shared" si="0"/>
        <v>2004</v>
      </c>
      <c r="B15" s="8"/>
      <c r="C15" s="75">
        <v>2.7910696561800129E-2</v>
      </c>
      <c r="D15" s="765">
        <v>0.7</v>
      </c>
      <c r="E15" s="765">
        <f t="shared" si="1"/>
        <v>0.30000000000000004</v>
      </c>
      <c r="F15" s="770"/>
      <c r="G15">
        <v>2004</v>
      </c>
      <c r="H15" s="812">
        <v>4.7100000000000003E-2</v>
      </c>
      <c r="I15">
        <f t="shared" si="2"/>
        <v>0.21195000000000003</v>
      </c>
      <c r="J15">
        <v>4.5</v>
      </c>
      <c r="K15">
        <f t="shared" si="3"/>
        <v>0.12559813452810059</v>
      </c>
    </row>
    <row r="16" spans="1:12">
      <c r="A16" s="49">
        <f t="shared" si="0"/>
        <v>2005</v>
      </c>
      <c r="B16" s="8"/>
      <c r="C16" s="75">
        <v>2.7910696561800129E-2</v>
      </c>
      <c r="D16" s="765">
        <v>0.7</v>
      </c>
      <c r="E16" s="765">
        <f t="shared" si="1"/>
        <v>0.30000000000000004</v>
      </c>
      <c r="F16" s="770"/>
      <c r="G16">
        <v>2005</v>
      </c>
      <c r="H16" s="812">
        <v>8.9999999999999993E-3</v>
      </c>
      <c r="I16">
        <f t="shared" si="2"/>
        <v>4.9499999999999995E-2</v>
      </c>
      <c r="J16">
        <v>5.5</v>
      </c>
      <c r="K16">
        <f t="shared" si="3"/>
        <v>0.15350883108990071</v>
      </c>
    </row>
    <row r="17" spans="1:11">
      <c r="A17" s="49">
        <f t="shared" si="0"/>
        <v>2006</v>
      </c>
      <c r="B17" s="8"/>
      <c r="C17" s="75">
        <v>3.8175171645624471E-2</v>
      </c>
      <c r="D17" s="765">
        <v>0.7</v>
      </c>
      <c r="E17" s="765">
        <f t="shared" si="1"/>
        <v>0.30000000000000004</v>
      </c>
      <c r="F17" s="770"/>
      <c r="G17">
        <v>2006</v>
      </c>
      <c r="H17" s="812">
        <v>4.4499999999999998E-2</v>
      </c>
      <c r="I17">
        <f t="shared" si="2"/>
        <v>0.28925000000000001</v>
      </c>
      <c r="J17">
        <v>6.5</v>
      </c>
      <c r="K17">
        <f t="shared" si="3"/>
        <v>0.24813861569655907</v>
      </c>
    </row>
    <row r="18" spans="1:11">
      <c r="A18" s="49">
        <f t="shared" si="0"/>
        <v>2007</v>
      </c>
      <c r="B18" s="8"/>
      <c r="C18" s="75">
        <v>3.8175171645624582E-2</v>
      </c>
      <c r="D18" s="765">
        <v>0.7</v>
      </c>
      <c r="E18" s="765">
        <f t="shared" si="1"/>
        <v>0.30000000000000004</v>
      </c>
      <c r="F18" s="770"/>
      <c r="G18">
        <v>2007</v>
      </c>
      <c r="H18" s="812">
        <v>8.8499999999999995E-2</v>
      </c>
      <c r="I18">
        <f t="shared" si="2"/>
        <v>0.66374999999999995</v>
      </c>
      <c r="J18">
        <v>7.5</v>
      </c>
      <c r="K18">
        <f t="shared" si="3"/>
        <v>0.28631378734218438</v>
      </c>
    </row>
    <row r="19" spans="1:11">
      <c r="A19" s="49">
        <f t="shared" si="0"/>
        <v>2008</v>
      </c>
      <c r="B19" s="8"/>
      <c r="C19" s="75">
        <v>5.0065386963951242E-2</v>
      </c>
      <c r="D19" s="765">
        <v>0.7</v>
      </c>
      <c r="E19" s="765">
        <f t="shared" si="1"/>
        <v>0.30000000000000004</v>
      </c>
      <c r="F19" s="770"/>
      <c r="G19">
        <v>2008</v>
      </c>
      <c r="H19" s="812">
        <v>0.10050000000000001</v>
      </c>
      <c r="I19">
        <f t="shared" si="2"/>
        <v>0.85425000000000006</v>
      </c>
      <c r="J19">
        <v>8.5</v>
      </c>
      <c r="K19">
        <f t="shared" si="3"/>
        <v>0.42555578919358555</v>
      </c>
    </row>
    <row r="20" spans="1:11">
      <c r="A20" s="49">
        <f t="shared" si="0"/>
        <v>2009</v>
      </c>
      <c r="B20" s="8"/>
      <c r="C20" s="75">
        <v>5.0065386963951242E-2</v>
      </c>
      <c r="D20" s="765">
        <v>0.7</v>
      </c>
      <c r="E20" s="765">
        <f t="shared" si="1"/>
        <v>0.30000000000000004</v>
      </c>
      <c r="F20" s="770"/>
      <c r="G20">
        <v>2009</v>
      </c>
      <c r="H20" s="812">
        <v>9.5000000000000001E-2</v>
      </c>
      <c r="I20">
        <f t="shared" si="2"/>
        <v>0.90249999999999997</v>
      </c>
      <c r="J20">
        <v>9.5</v>
      </c>
      <c r="K20">
        <f t="shared" si="3"/>
        <v>0.4756211761575368</v>
      </c>
    </row>
    <row r="21" spans="1:11">
      <c r="A21" s="49">
        <f t="shared" si="0"/>
        <v>2010</v>
      </c>
      <c r="B21" s="8"/>
      <c r="C21" s="75">
        <v>6.3308584378467064E-2</v>
      </c>
      <c r="D21" s="765">
        <v>0.7</v>
      </c>
      <c r="E21" s="765">
        <f t="shared" si="1"/>
        <v>0.30000000000000004</v>
      </c>
      <c r="F21" s="770"/>
      <c r="G21">
        <v>2010</v>
      </c>
      <c r="H21" s="812">
        <v>9.5000000000000001E-2</v>
      </c>
      <c r="I21">
        <f t="shared" si="2"/>
        <v>0.99750000000000005</v>
      </c>
      <c r="J21">
        <v>10.5</v>
      </c>
      <c r="K21">
        <f t="shared" si="3"/>
        <v>0.66474013597390413</v>
      </c>
    </row>
    <row r="22" spans="1:11">
      <c r="A22" s="49">
        <f t="shared" si="0"/>
        <v>2011</v>
      </c>
      <c r="B22" s="8"/>
      <c r="C22" s="75">
        <v>6.3308584378467175E-2</v>
      </c>
      <c r="D22" s="765">
        <v>0.7</v>
      </c>
      <c r="E22" s="765">
        <f t="shared" si="1"/>
        <v>0.30000000000000004</v>
      </c>
      <c r="F22" s="770"/>
      <c r="G22">
        <v>2011</v>
      </c>
      <c r="H22" s="812">
        <v>0.09</v>
      </c>
      <c r="I22">
        <f t="shared" si="2"/>
        <v>1.0349999999999999</v>
      </c>
      <c r="J22">
        <v>11.5</v>
      </c>
      <c r="K22">
        <f t="shared" si="3"/>
        <v>0.72804872035237256</v>
      </c>
    </row>
    <row r="23" spans="1:11">
      <c r="A23" s="49">
        <f t="shared" si="0"/>
        <v>2012</v>
      </c>
      <c r="B23" s="8"/>
      <c r="C23" s="75">
        <v>6.5000000000000002E-2</v>
      </c>
      <c r="D23" s="765">
        <v>0.7</v>
      </c>
      <c r="E23" s="765">
        <f t="shared" si="1"/>
        <v>0.30000000000000004</v>
      </c>
      <c r="F23" s="770"/>
      <c r="G23">
        <v>2012</v>
      </c>
      <c r="H23" s="812">
        <v>0.09</v>
      </c>
      <c r="I23">
        <f t="shared" si="2"/>
        <v>1.125</v>
      </c>
      <c r="J23">
        <v>12.5</v>
      </c>
      <c r="K23">
        <f t="shared" si="3"/>
        <v>0.8125</v>
      </c>
    </row>
    <row r="24" spans="1:11">
      <c r="A24" s="49">
        <f t="shared" si="0"/>
        <v>2013</v>
      </c>
      <c r="B24" s="8"/>
      <c r="C24" s="75">
        <v>6.5000000000000002E-2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2">
        <v>8.5000000000000006E-2</v>
      </c>
      <c r="I24">
        <f t="shared" si="2"/>
        <v>1.1475000000000002</v>
      </c>
      <c r="J24">
        <v>13.5</v>
      </c>
      <c r="K24">
        <f t="shared" si="3"/>
        <v>0.87750000000000006</v>
      </c>
    </row>
    <row r="25" spans="1:11">
      <c r="A25" s="49">
        <f t="shared" si="0"/>
        <v>2014</v>
      </c>
      <c r="B25" s="8"/>
      <c r="C25" s="75">
        <v>7.523612479161064E-2</v>
      </c>
      <c r="D25" s="765">
        <v>0.7</v>
      </c>
      <c r="E25" s="765">
        <f t="shared" si="1"/>
        <v>0.30000000000000004</v>
      </c>
      <c r="F25" s="770"/>
      <c r="G25">
        <v>2014</v>
      </c>
      <c r="H25" s="812">
        <v>0.08</v>
      </c>
      <c r="I25">
        <f t="shared" si="2"/>
        <v>1.1599999999999999</v>
      </c>
      <c r="J25">
        <v>14.5</v>
      </c>
      <c r="K25">
        <f t="shared" si="3"/>
        <v>1.0909238094783542</v>
      </c>
    </row>
    <row r="26" spans="1:11">
      <c r="A26" s="49">
        <f t="shared" si="0"/>
        <v>2015</v>
      </c>
      <c r="B26" s="8"/>
      <c r="C26" s="75">
        <v>7.5236124791610764E-2</v>
      </c>
      <c r="D26" s="765">
        <v>0.7</v>
      </c>
      <c r="E26" s="765">
        <f t="shared" si="1"/>
        <v>0.30000000000000004</v>
      </c>
      <c r="F26" s="770"/>
      <c r="G26">
        <v>2015</v>
      </c>
      <c r="H26" s="812">
        <v>6.9900000000000184E-2</v>
      </c>
      <c r="I26">
        <f t="shared" si="2"/>
        <v>1.0834500000000029</v>
      </c>
      <c r="J26">
        <v>15.5</v>
      </c>
      <c r="K26">
        <f t="shared" si="3"/>
        <v>1.1661599342699669</v>
      </c>
    </row>
    <row r="27" spans="1:11">
      <c r="A27" s="49">
        <f t="shared" si="0"/>
        <v>2016</v>
      </c>
      <c r="B27" s="8"/>
      <c r="C27" s="75">
        <v>7.4999999999999997E-2</v>
      </c>
      <c r="D27" s="765">
        <v>0.7</v>
      </c>
      <c r="E27" s="765">
        <f t="shared" si="1"/>
        <v>0.30000000000000004</v>
      </c>
      <c r="F27" s="770"/>
      <c r="H27" s="818"/>
      <c r="J27">
        <v>16.5</v>
      </c>
      <c r="K27">
        <f t="shared" si="3"/>
        <v>1.2375</v>
      </c>
    </row>
    <row r="28" spans="1:11">
      <c r="A28" s="49">
        <v>2017</v>
      </c>
      <c r="B28" s="8"/>
      <c r="C28" s="75">
        <v>7.4999999999999997E-2</v>
      </c>
      <c r="D28" s="765">
        <v>0.7</v>
      </c>
      <c r="E28" s="765">
        <f t="shared" si="1"/>
        <v>0.30000000000000004</v>
      </c>
      <c r="F28" s="770"/>
      <c r="J28">
        <v>17.5</v>
      </c>
      <c r="K28">
        <f t="shared" si="3"/>
        <v>1.3125</v>
      </c>
    </row>
    <row r="29" spans="1:11">
      <c r="A29" s="49">
        <v>2018</v>
      </c>
      <c r="C29" s="75">
        <v>0.05</v>
      </c>
      <c r="D29" s="765">
        <v>0.7</v>
      </c>
      <c r="E29" s="765">
        <f t="shared" si="1"/>
        <v>0.30000000000000004</v>
      </c>
      <c r="F29" s="770"/>
      <c r="J29">
        <v>18.5</v>
      </c>
      <c r="K29">
        <f t="shared" si="3"/>
        <v>0.92500000000000004</v>
      </c>
    </row>
    <row r="30" spans="1:11">
      <c r="A30" s="49">
        <v>2019</v>
      </c>
      <c r="C30" s="75">
        <v>0.05</v>
      </c>
      <c r="D30" s="765">
        <v>0.7</v>
      </c>
      <c r="E30" s="765">
        <f t="shared" si="1"/>
        <v>0.30000000000000004</v>
      </c>
      <c r="F30" s="770"/>
      <c r="J30">
        <v>19.5</v>
      </c>
      <c r="K30">
        <f t="shared" si="3"/>
        <v>0.97500000000000009</v>
      </c>
    </row>
    <row r="31" spans="1:11" ht="16.5" thickBot="1">
      <c r="A31" s="49">
        <v>2020</v>
      </c>
      <c r="C31" s="75">
        <v>5.16E-2</v>
      </c>
      <c r="D31" s="765">
        <v>0.7</v>
      </c>
      <c r="E31" s="765">
        <f t="shared" si="1"/>
        <v>0.30000000000000004</v>
      </c>
      <c r="F31" s="770"/>
      <c r="J31">
        <v>20.5</v>
      </c>
      <c r="K31">
        <f t="shared" si="3"/>
        <v>1.0578000000000001</v>
      </c>
    </row>
    <row r="32" spans="1:11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C17" sqref="C17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9426.17</v>
      </c>
      <c r="E24" s="736">
        <f ca="1">'ENA Debt'!E34</f>
        <v>9264.5</v>
      </c>
      <c r="F24" s="736">
        <f ca="1">'ENA Debt'!F34</f>
        <v>9080.43</v>
      </c>
      <c r="G24" s="736">
        <f ca="1">'ENA Debt'!G34</f>
        <v>8853.23</v>
      </c>
      <c r="H24" s="736">
        <f ca="1">'ENA Debt'!H34</f>
        <v>8589.4699999999993</v>
      </c>
      <c r="I24" s="736">
        <f ca="1">'ENA Debt'!I34</f>
        <v>8311.17</v>
      </c>
      <c r="J24" s="736">
        <f ca="1">'ENA Debt'!J34</f>
        <v>7950.41</v>
      </c>
      <c r="K24" s="736">
        <f ca="1">'ENA Debt'!K34</f>
        <v>7572.8</v>
      </c>
      <c r="L24" s="736">
        <f ca="1">'ENA Debt'!L34</f>
        <v>7099.69</v>
      </c>
      <c r="M24" s="736">
        <f ca="1">'ENA Debt'!M34</f>
        <v>6607.8</v>
      </c>
      <c r="N24" s="736">
        <f ca="1">'ENA Debt'!N34</f>
        <v>6009.53</v>
      </c>
      <c r="O24" s="736">
        <f ca="1">'ENA Debt'!O34</f>
        <v>5408.87</v>
      </c>
      <c r="P24" s="736">
        <f ca="1">'ENA Debt'!P34</f>
        <v>4794.62</v>
      </c>
      <c r="Q24" s="736">
        <f ca="1">'ENA Debt'!Q34</f>
        <v>4165.8599999999997</v>
      </c>
      <c r="R24" s="736">
        <f ca="1">'ENA Debt'!R34</f>
        <v>3454.87</v>
      </c>
      <c r="S24" s="736">
        <f ca="1">'ENA Debt'!S34</f>
        <v>2744.23</v>
      </c>
      <c r="T24" s="736">
        <f ca="1">'ENA Debt'!T34</f>
        <v>2035.48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94.036448769673299</v>
      </c>
      <c r="D25" s="736">
        <f ca="1">'ENA Debt'!D44</f>
        <v>96.29025556432812</v>
      </c>
      <c r="E25" s="736">
        <f ca="1">'ENA Debt'!E44</f>
        <v>97.850986631185336</v>
      </c>
      <c r="F25" s="736">
        <f ca="1">'ENA Debt'!F44</f>
        <v>100.48614431859328</v>
      </c>
      <c r="G25" s="736">
        <f ca="1">'ENA Debt'!G44</f>
        <v>101.86771680459985</v>
      </c>
      <c r="H25" s="736">
        <f ca="1">'ENA Debt'!H44</f>
        <v>105.38724560194991</v>
      </c>
      <c r="I25" s="736">
        <f ca="1">'ENA Debt'!I44</f>
        <v>106.45483660845719</v>
      </c>
      <c r="J25" s="736">
        <f ca="1">'ENA Debt'!J44</f>
        <v>107.45826516743416</v>
      </c>
      <c r="K25" s="736">
        <f ca="1">'ENA Debt'!K44</f>
        <v>105.83581903124734</v>
      </c>
      <c r="L25" s="736">
        <f ca="1">'ENA Debt'!L44</f>
        <v>105.89896048067494</v>
      </c>
      <c r="M25" s="736">
        <f ca="1">'ENA Debt'!M44</f>
        <v>103.10857761875917</v>
      </c>
      <c r="N25" s="736">
        <f ca="1">'ENA Debt'!N44</f>
        <v>100.09377517122884</v>
      </c>
      <c r="O25" s="736">
        <f ca="1">'ENA Debt'!O44</f>
        <v>96.586351171228841</v>
      </c>
      <c r="P25" s="736">
        <f ca="1">'ENA Debt'!P44</f>
        <v>88.25943117122884</v>
      </c>
      <c r="Q25" s="736">
        <f ca="1">'ENA Debt'!Q44</f>
        <v>78.247899585614419</v>
      </c>
      <c r="R25" s="736">
        <f ca="1">'ENA Debt'!R44</f>
        <v>68.526287999999994</v>
      </c>
      <c r="S25" s="736">
        <f ca="1">'ENA Debt'!S44</f>
        <v>62.450650000000003</v>
      </c>
      <c r="T25" s="736">
        <f ca="1">'ENA Debt'!T44</f>
        <v>54.214586666666669</v>
      </c>
      <c r="U25" s="736">
        <f ca="1">'ENA Debt'!U44</f>
        <v>52.24819999999999</v>
      </c>
      <c r="V25" s="736">
        <f ca="1">'ENA Debt'!V44</f>
        <v>50.129040000000003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76.063948769673303</v>
      </c>
      <c r="D27" s="736">
        <f t="shared" ca="1" si="3"/>
        <v>9432.133346164328</v>
      </c>
      <c r="E27" s="736">
        <f t="shared" ca="1" si="3"/>
        <v>9197.7160987773859</v>
      </c>
      <c r="F27" s="736">
        <f t="shared" ca="1" si="3"/>
        <v>8939.9669625927399</v>
      </c>
      <c r="G27" s="736">
        <f t="shared" ca="1" si="3"/>
        <v>8635.7737552721483</v>
      </c>
      <c r="H27" s="736">
        <f t="shared" ca="1" si="3"/>
        <v>8295.042385208124</v>
      </c>
      <c r="I27" s="736">
        <f t="shared" ca="1" si="3"/>
        <v>7935.1458230839962</v>
      </c>
      <c r="J27" s="736">
        <f t="shared" ca="1" si="3"/>
        <v>7490.4931663778143</v>
      </c>
      <c r="K27" s="736">
        <f t="shared" ca="1" si="3"/>
        <v>7024.0724406743075</v>
      </c>
      <c r="L27" s="736">
        <f t="shared" ca="1" si="3"/>
        <v>6461.483219008097</v>
      </c>
      <c r="M27" s="736">
        <f t="shared" ca="1" si="3"/>
        <v>5874.8428292264225</v>
      </c>
      <c r="N27" s="736">
        <f t="shared" ca="1" si="3"/>
        <v>5179.115099672299</v>
      </c>
      <c r="O27" s="736">
        <f t="shared" ca="1" si="3"/>
        <v>5505.4563511712286</v>
      </c>
      <c r="P27" s="736">
        <f t="shared" ca="1" si="3"/>
        <v>4783.2677371070195</v>
      </c>
      <c r="Q27" s="736">
        <f t="shared" ca="1" si="3"/>
        <v>4042.1949957174611</v>
      </c>
      <c r="R27" s="736">
        <f t="shared" ca="1" si="3"/>
        <v>3216.420041663197</v>
      </c>
      <c r="S27" s="736">
        <f t="shared" ca="1" si="3"/>
        <v>2391.8043509478939</v>
      </c>
      <c r="T27" s="736">
        <f t="shared" ca="1" si="3"/>
        <v>1564.0049334759437</v>
      </c>
      <c r="U27" s="736">
        <f t="shared" ca="1" si="3"/>
        <v>-587.24676789108184</v>
      </c>
      <c r="V27" s="737">
        <f t="shared" ca="1" si="3"/>
        <v>-706.24398608835065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10055.838463019441</v>
      </c>
      <c r="D29" s="736">
        <f t="shared" ca="1" si="4"/>
        <v>18506.39391559513</v>
      </c>
      <c r="E29" s="736">
        <f t="shared" ca="1" si="4"/>
        <v>17523.961259599364</v>
      </c>
      <c r="F29" s="736">
        <f t="shared" ca="1" si="4"/>
        <v>18960.418396909074</v>
      </c>
      <c r="G29" s="736">
        <f t="shared" ca="1" si="4"/>
        <v>19670.925717212693</v>
      </c>
      <c r="H29" s="736">
        <f t="shared" ca="1" si="4"/>
        <v>11511.495507420563</v>
      </c>
      <c r="I29" s="736">
        <f t="shared" ca="1" si="4"/>
        <v>18756.01433146928</v>
      </c>
      <c r="J29" s="736">
        <f t="shared" ca="1" si="4"/>
        <v>26902.354929837933</v>
      </c>
      <c r="K29" s="736">
        <f t="shared" ca="1" si="4"/>
        <v>27782.205446925578</v>
      </c>
      <c r="L29" s="736">
        <f t="shared" ca="1" si="4"/>
        <v>26109.091262108508</v>
      </c>
      <c r="M29" s="736">
        <f t="shared" ca="1" si="4"/>
        <v>27296.728868996892</v>
      </c>
      <c r="N29" s="736">
        <f t="shared" ca="1" si="4"/>
        <v>26121.164680675058</v>
      </c>
      <c r="O29" s="736">
        <f t="shared" ca="1" si="4"/>
        <v>25582.531373722348</v>
      </c>
      <c r="P29" s="736">
        <f t="shared" ca="1" si="4"/>
        <v>23117.529160276299</v>
      </c>
      <c r="Q29" s="736">
        <f t="shared" ca="1" si="4"/>
        <v>29187.442344771658</v>
      </c>
      <c r="R29" s="736">
        <f t="shared" ca="1" si="4"/>
        <v>35555.325963351876</v>
      </c>
      <c r="S29" s="736">
        <f t="shared" ca="1" si="4"/>
        <v>41829.660304694822</v>
      </c>
      <c r="T29" s="736">
        <f t="shared" ca="1" si="4"/>
        <v>43147.502218510686</v>
      </c>
      <c r="U29" s="736">
        <f t="shared" ca="1" si="4"/>
        <v>47211.470944122899</v>
      </c>
      <c r="V29" s="737">
        <f t="shared" ca="1" si="4"/>
        <v>39041.084308702535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6748.813320894581</v>
      </c>
      <c r="D33" s="742">
        <f t="shared" ca="1" si="5"/>
        <v>12837.207957666798</v>
      </c>
      <c r="E33" s="742">
        <f t="shared" ca="1" si="5"/>
        <v>11854.775301671032</v>
      </c>
      <c r="F33" s="742">
        <f t="shared" ca="1" si="5"/>
        <v>13291.232438980742</v>
      </c>
      <c r="G33" s="742">
        <f t="shared" ca="1" si="5"/>
        <v>14001.739759284361</v>
      </c>
      <c r="H33" s="742">
        <f t="shared" ca="1" si="5"/>
        <v>5842.3095494922309</v>
      </c>
      <c r="I33" s="742">
        <f t="shared" ca="1" si="5"/>
        <v>13086.828373540948</v>
      </c>
      <c r="J33" s="742">
        <f t="shared" ca="1" si="5"/>
        <v>21233.168971909603</v>
      </c>
      <c r="K33" s="742">
        <f t="shared" ca="1" si="5"/>
        <v>22113.019488997248</v>
      </c>
      <c r="L33" s="742">
        <f t="shared" ca="1" si="5"/>
        <v>20439.905304180174</v>
      </c>
      <c r="M33" s="742">
        <f t="shared" ca="1" si="5"/>
        <v>21627.542911068558</v>
      </c>
      <c r="N33" s="742">
        <f t="shared" ca="1" si="5"/>
        <v>20451.978722746724</v>
      </c>
      <c r="O33" s="742">
        <f t="shared" ca="1" si="5"/>
        <v>19913.345415794014</v>
      </c>
      <c r="P33" s="742">
        <f t="shared" ca="1" si="5"/>
        <v>17448.343202347969</v>
      </c>
      <c r="Q33" s="742">
        <f t="shared" ca="1" si="5"/>
        <v>23518.256386843328</v>
      </c>
      <c r="R33" s="742">
        <f t="shared" ca="1" si="5"/>
        <v>29886.140005423542</v>
      </c>
      <c r="S33" s="742">
        <f t="shared" ca="1" si="5"/>
        <v>36160.474346766488</v>
      </c>
      <c r="T33" s="742">
        <f t="shared" ca="1" si="5"/>
        <v>37478.316260582353</v>
      </c>
      <c r="U33" s="742">
        <f t="shared" ca="1" si="5"/>
        <v>41542.284986194565</v>
      </c>
      <c r="V33" s="744">
        <f t="shared" ca="1" si="5"/>
        <v>33371.898350774201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111.36912903510456</v>
      </c>
      <c r="E35" s="736">
        <f ca="1">'TAXES-ENA'!E14</f>
        <v>138.83497364761334</v>
      </c>
      <c r="F35" s="736">
        <f ca="1">'TAXES-ENA'!F14</f>
        <v>302.33822649295035</v>
      </c>
      <c r="G35" s="736">
        <f ca="1">'TAXES-ENA'!G14</f>
        <v>415.00770682552138</v>
      </c>
      <c r="H35" s="736">
        <f ca="1">'TAXES-ENA'!H14</f>
        <v>124.01021597455178</v>
      </c>
      <c r="I35" s="736">
        <f ca="1">'TAXES-ENA'!I14</f>
        <v>588.69807732362676</v>
      </c>
      <c r="J35" s="736">
        <f ca="1">'TAXES-ENA'!J14</f>
        <v>1077.4785132257459</v>
      </c>
      <c r="K35" s="736">
        <f ca="1">'TAXES-ENA'!K14</f>
        <v>1129.3599463144546</v>
      </c>
      <c r="L35" s="736">
        <f ca="1">'TAXES-ENA'!L14</f>
        <v>1029.8826931619806</v>
      </c>
      <c r="M35" s="736">
        <f ca="1">'TAXES-ENA'!M14</f>
        <v>1100.2313516387335</v>
      </c>
      <c r="N35" s="736">
        <f ca="1">'TAXES-ENA'!N14</f>
        <v>1030.6070982759734</v>
      </c>
      <c r="O35" s="736">
        <f ca="1">'TAXES-ENA'!O14</f>
        <v>997.37950192226083</v>
      </c>
      <c r="P35" s="736">
        <f ca="1">'TAXES-ENA'!P14</f>
        <v>850.38896705204797</v>
      </c>
      <c r="Q35" s="736">
        <f ca="1">'TAXES-ENA'!Q14</f>
        <v>1213.6741601852193</v>
      </c>
      <c r="R35" s="736">
        <f ca="1">'TAXES-ENA'!R14</f>
        <v>1864.9881665188473</v>
      </c>
      <c r="S35" s="736">
        <f ca="1">'TAXES-ENA'!S14</f>
        <v>2509.7796182816892</v>
      </c>
      <c r="T35" s="736">
        <f ca="1">'TAXES-ENA'!T14</f>
        <v>2588.8501331106413</v>
      </c>
      <c r="U35" s="736">
        <f ca="1">'TAXES-ENA'!U14</f>
        <v>2832.6882566473737</v>
      </c>
      <c r="V35" s="736">
        <f ca="1">'TAXES-ENA'!V14</f>
        <v>2342.465058522152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2248.1550308847673</v>
      </c>
      <c r="D36" s="752">
        <f ca="1">(+D33-D35)*'TAXES-ENA'!D26</f>
        <v>4454.0435900210923</v>
      </c>
      <c r="E36" s="752">
        <f ca="1">(+E33-E35)*'TAXES-ENA'!E26</f>
        <v>4100.5791148081962</v>
      </c>
      <c r="F36" s="752">
        <f ca="1">(+F33-F35)*'TAXES-ENA'!F26</f>
        <v>4546.112974370727</v>
      </c>
      <c r="G36" s="752">
        <f ca="1">(+G33-G35)*'TAXES-ENA'!G26</f>
        <v>4755.3562183605936</v>
      </c>
      <c r="H36" s="752">
        <f ca="1">(+H33-H35)*'TAXES-ENA'!H26</f>
        <v>2001.4047667311875</v>
      </c>
      <c r="I36" s="752">
        <f ca="1">(+I33-I35)*'TAXES-ENA'!I26</f>
        <v>4374.3456036760617</v>
      </c>
      <c r="J36" s="752">
        <f ca="1">(+J33-J35)*'TAXES-ENA'!J26</f>
        <v>7054.4916605393501</v>
      </c>
      <c r="K36" s="752">
        <f ca="1">(+K33-K35)*'TAXES-ENA'!K26</f>
        <v>7344.2808399389769</v>
      </c>
      <c r="L36" s="752">
        <f ca="1">(+L33-L35)*'TAXES-ENA'!L26</f>
        <v>6793.5079138563678</v>
      </c>
      <c r="M36" s="752">
        <f ca="1">(+M33-M35)*'TAXES-ENA'!M26</f>
        <v>7184.5590458004381</v>
      </c>
      <c r="N36" s="752">
        <f ca="1">(+N33-N35)*'TAXES-ENA'!N26</f>
        <v>6797.4800685647624</v>
      </c>
      <c r="O36" s="752">
        <f ca="1">(+O33-O35)*'TAXES-ENA'!O26</f>
        <v>6620.5880698551136</v>
      </c>
      <c r="P36" s="752">
        <f ca="1">(+P33-P35)*'TAXES-ENA'!P26</f>
        <v>5809.2839823535724</v>
      </c>
      <c r="Q36" s="752">
        <f ca="1">(+Q33-Q35)*'TAXES-ENA'!Q26</f>
        <v>7806.6037793303376</v>
      </c>
      <c r="R36" s="752">
        <f ca="1">(+R33-R35)*'TAXES-ENA'!R26</f>
        <v>9807.4031436166424</v>
      </c>
      <c r="S36" s="752">
        <f ca="1">(+S33-S35)*'TAXES-ENA'!S26</f>
        <v>11777.743154969679</v>
      </c>
      <c r="T36" s="752">
        <f ca="1">(+T33-T35)*'TAXES-ENA'!T26</f>
        <v>12211.3131446151</v>
      </c>
      <c r="U36" s="752">
        <f ca="1">(+U33-U35)*'TAXES-ENA'!U26</f>
        <v>13548.358855341517</v>
      </c>
      <c r="V36" s="752">
        <f ca="1">(+V33-V35)*'TAXES-ENA'!V26</f>
        <v>10860.301652288215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2573.6682635371562</v>
      </c>
      <c r="D37" s="736">
        <f t="shared" ca="1" si="6"/>
        <v>4565.4127190561967</v>
      </c>
      <c r="E37" s="736">
        <f t="shared" ca="1" si="6"/>
        <v>4239.4140884558092</v>
      </c>
      <c r="F37" s="736">
        <f t="shared" ca="1" si="6"/>
        <v>4848.4512008636775</v>
      </c>
      <c r="G37" s="736">
        <f t="shared" ca="1" si="6"/>
        <v>5170.363925186115</v>
      </c>
      <c r="H37" s="736">
        <f t="shared" ca="1" si="6"/>
        <v>2125.414982705739</v>
      </c>
      <c r="I37" s="736">
        <f t="shared" ca="1" si="6"/>
        <v>4963.0436809996881</v>
      </c>
      <c r="J37" s="736">
        <f t="shared" ca="1" si="6"/>
        <v>8131.9701737650958</v>
      </c>
      <c r="K37" s="736">
        <f t="shared" ca="1" si="6"/>
        <v>8473.6407862534325</v>
      </c>
      <c r="L37" s="736">
        <f t="shared" ca="1" si="6"/>
        <v>7823.3906070183484</v>
      </c>
      <c r="M37" s="736">
        <f t="shared" ca="1" si="6"/>
        <v>8284.790397439172</v>
      </c>
      <c r="N37" s="736">
        <f t="shared" ca="1" si="6"/>
        <v>7828.0871668407362</v>
      </c>
      <c r="O37" s="736">
        <f t="shared" ca="1" si="6"/>
        <v>7617.9675717773744</v>
      </c>
      <c r="P37" s="736">
        <f t="shared" ca="1" si="6"/>
        <v>6659.6729494056199</v>
      </c>
      <c r="Q37" s="736">
        <f t="shared" ca="1" si="6"/>
        <v>9020.2779395155576</v>
      </c>
      <c r="R37" s="736">
        <f t="shared" ca="1" si="6"/>
        <v>11672.39131013549</v>
      </c>
      <c r="S37" s="736">
        <f t="shared" ca="1" si="6"/>
        <v>14287.522773251369</v>
      </c>
      <c r="T37" s="736">
        <f t="shared" ca="1" si="6"/>
        <v>14800.163277725742</v>
      </c>
      <c r="U37" s="736">
        <f t="shared" ca="1" si="6"/>
        <v>16381.047111988892</v>
      </c>
      <c r="V37" s="737">
        <f t="shared" ca="1" si="6"/>
        <v>13202.766710810367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4175.1450573574248</v>
      </c>
      <c r="D39" s="756">
        <f t="shared" ca="1" si="7"/>
        <v>8271.7952386106008</v>
      </c>
      <c r="E39" s="756">
        <f t="shared" ca="1" si="7"/>
        <v>7615.361213215223</v>
      </c>
      <c r="F39" s="756">
        <f t="shared" ca="1" si="7"/>
        <v>8442.7812381170643</v>
      </c>
      <c r="G39" s="756">
        <f t="shared" ca="1" si="7"/>
        <v>8831.3758340982458</v>
      </c>
      <c r="H39" s="756">
        <f t="shared" ca="1" si="7"/>
        <v>3716.8945667864919</v>
      </c>
      <c r="I39" s="756">
        <f t="shared" ca="1" si="7"/>
        <v>8123.7846925412596</v>
      </c>
      <c r="J39" s="756">
        <f t="shared" ca="1" si="7"/>
        <v>13101.198798144507</v>
      </c>
      <c r="K39" s="756">
        <f t="shared" ca="1" si="7"/>
        <v>13639.378702743816</v>
      </c>
      <c r="L39" s="756">
        <f t="shared" ca="1" si="7"/>
        <v>12616.514697161827</v>
      </c>
      <c r="M39" s="756">
        <f t="shared" ca="1" si="7"/>
        <v>13342.752513629386</v>
      </c>
      <c r="N39" s="756">
        <f t="shared" ca="1" si="7"/>
        <v>12623.891555905988</v>
      </c>
      <c r="O39" s="756">
        <f t="shared" ca="1" si="7"/>
        <v>12295.377844016639</v>
      </c>
      <c r="P39" s="756">
        <f t="shared" ca="1" si="7"/>
        <v>10788.670252942349</v>
      </c>
      <c r="Q39" s="756">
        <f t="shared" ca="1" si="7"/>
        <v>14497.97844732777</v>
      </c>
      <c r="R39" s="756">
        <f t="shared" ca="1" si="7"/>
        <v>18213.74869528805</v>
      </c>
      <c r="S39" s="756">
        <f t="shared" ca="1" si="7"/>
        <v>21872.951573515122</v>
      </c>
      <c r="T39" s="756">
        <f t="shared" ca="1" si="7"/>
        <v>22678.152982856613</v>
      </c>
      <c r="U39" s="756">
        <f t="shared" ca="1" si="7"/>
        <v>25161.237874205675</v>
      </c>
      <c r="V39" s="757">
        <f t="shared" ca="1" si="7"/>
        <v>20169.131639963834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165.54187326881177</v>
      </c>
      <c r="K3" s="774">
        <f ca="1">-'ENA IDC'!K69</f>
        <v>141.87234134113677</v>
      </c>
      <c r="L3" s="774">
        <f ca="1">-'ENA IDC'!L69</f>
        <v>114.65317456759034</v>
      </c>
      <c r="M3" s="774">
        <f ca="1">-'ENA IDC'!M69</f>
        <v>87.434007794043893</v>
      </c>
      <c r="N3" s="774">
        <f ca="1">-'ENA IDC'!N69</f>
        <v>47.081192090773158</v>
      </c>
      <c r="O3" s="774">
        <f ca="1">-'ENA IDC'!O69</f>
        <v>-4718.2716236124979</v>
      </c>
      <c r="P3" s="774">
        <f ca="1">-'ENA IDC'!P69</f>
        <v>-15473.346975167799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9847.1464803670533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16019.501061718584</v>
      </c>
      <c r="U4" s="776">
        <f ca="1">'CSHFLO-ENA'!E36+0.5*OandM!E11*(1-'TAXES-ENA'!E26-'ASSUM 1'!$N$40)</f>
        <v>14473.731836136832</v>
      </c>
      <c r="V4" s="776">
        <f ca="1">'CSHFLO-ENA'!F36+0.5*OandM!F11*(1-'TAXES-ENA'!F26-'ASSUM 1'!$N$40)</f>
        <v>14384.630533273108</v>
      </c>
      <c r="W4" s="776">
        <f ca="1">'CSHFLO-ENA'!G36+0.5*OandM!G11*(1-'TAXES-ENA'!G26-'ASSUM 1'!$N$40)</f>
        <v>13902.334259907049</v>
      </c>
      <c r="X4" s="776">
        <f ca="1">'CSHFLO-ENA'!H36+0.5*OandM!H11*(1-'TAXES-ENA'!H26-'ASSUM 1'!$N$40)</f>
        <v>7639.3590864413354</v>
      </c>
      <c r="Y4" s="776">
        <f ca="1">'CSHFLO-ENA'!I36+0.5*OandM!I11*(1-'TAXES-ENA'!I26-'ASSUM 1'!$N$40)</f>
        <v>10565.114458763555</v>
      </c>
      <c r="Z4" s="776">
        <f ca="1">'CSHFLO-ENA'!J36+0.5*OandM!J11*(1-'TAXES-ENA'!J26-'ASSUM 1'!$N$40)</f>
        <v>15550.801249968543</v>
      </c>
      <c r="AA4" s="776">
        <f ca="1">'CSHFLO-ENA'!K36+0.5*OandM!K11*(1-'TAXES-ENA'!K26-'ASSUM 1'!$N$40)</f>
        <v>14736.826832773533</v>
      </c>
      <c r="AB4" s="776">
        <f ca="1">'CSHFLO-ENA'!L36+0.5*OandM!L11*(1-'TAXES-ENA'!L26-'ASSUM 1'!$N$40)</f>
        <v>13726.34249228228</v>
      </c>
      <c r="AC4" s="776">
        <f ca="1">'CSHFLO-ENA'!M36+0.5*OandM!M11*(1-'TAXES-ENA'!M26-'ASSUM 1'!$N$40)</f>
        <v>12887.318187849345</v>
      </c>
      <c r="AD4" s="776">
        <f ca="1">'CSHFLO-ENA'!N36+0.5*OandM!N11*(1-'TAXES-ENA'!N26-'ASSUM 1'!$N$40)</f>
        <v>12178.122899752751</v>
      </c>
      <c r="AE4" s="776">
        <f ca="1">'CSHFLO-ENA'!O36+0.5*OandM!O11*(1-'TAXES-ENA'!O26-'ASSUM 1'!$N$40)</f>
        <v>11603.892866121245</v>
      </c>
      <c r="AF4" s="776">
        <f ca="1">'CSHFLO-ENA'!P36+0.5*OandM!P11*(1-'TAXES-ENA'!P26-'ASSUM 1'!$N$40)</f>
        <v>10160.190404752582</v>
      </c>
      <c r="AG4" s="776">
        <f ca="1">'CSHFLO-ENA'!Q36+0.5*OandM!Q11*(1-'TAXES-ENA'!Q26-'ASSUM 1'!$N$40)</f>
        <v>12626.017039867618</v>
      </c>
      <c r="AH4" s="776">
        <f ca="1">'CSHFLO-ENA'!R36+0.5*OandM!R11*(1-'TAXES-ENA'!R26-'ASSUM 1'!$N$40)</f>
        <v>14798.063347379155</v>
      </c>
      <c r="AI4" s="776">
        <f ca="1">'CSHFLO-ENA'!S36+0.5*OandM!S11*(1-'TAXES-ENA'!S26-'ASSUM 1'!$N$40)</f>
        <v>16907.631364347402</v>
      </c>
      <c r="AJ4" s="776">
        <f ca="1">'CSHFLO-ENA'!T36+0.5*OandM!T11*(1-'TAXES-ENA'!T26-'ASSUM 1'!$N$40)</f>
        <v>17744.230903813157</v>
      </c>
      <c r="AK4" s="776">
        <f ca="1">'CSHFLO-ENA'!U36+0.5*OandM!U11*(1-'TAXES-ENA'!U26-'ASSUM 1'!$N$40)</f>
        <v>23173.643194347987</v>
      </c>
      <c r="AL4" s="776">
        <f ca="1">'CSHFLO-ENA'!V36+0.5*OandM!V11*(1-'TAXES-ENA'!V26-'ASSUM 1'!$N$40)</f>
        <v>35601.962633425297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165.54187326881177</v>
      </c>
      <c r="K5" s="774">
        <f t="shared" ca="1" si="0"/>
        <v>141.87234134113677</v>
      </c>
      <c r="L5" s="774">
        <f t="shared" ca="1" si="0"/>
        <v>114.65317456759034</v>
      </c>
      <c r="M5" s="774">
        <f t="shared" ca="1" si="0"/>
        <v>87.434007794043893</v>
      </c>
      <c r="N5" s="774">
        <f t="shared" ca="1" si="0"/>
        <v>47.081192090773158</v>
      </c>
      <c r="O5" s="774">
        <f t="shared" ca="1" si="0"/>
        <v>5128.8748567545554</v>
      </c>
      <c r="P5" s="774">
        <f t="shared" ca="1" si="0"/>
        <v>-15473.346975167799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16019.501061718584</v>
      </c>
      <c r="U5" s="774">
        <f t="shared" ca="1" si="0"/>
        <v>14473.731836136832</v>
      </c>
      <c r="V5" s="774">
        <f t="shared" ca="1" si="0"/>
        <v>14384.630533273108</v>
      </c>
      <c r="W5" s="774">
        <f t="shared" ca="1" si="0"/>
        <v>13902.334259907049</v>
      </c>
      <c r="X5" s="774">
        <f t="shared" ca="1" si="0"/>
        <v>7639.3590864413354</v>
      </c>
      <c r="Y5" s="774">
        <f t="shared" ca="1" si="0"/>
        <v>10565.114458763555</v>
      </c>
      <c r="Z5" s="774">
        <f t="shared" ca="1" si="0"/>
        <v>15550.801249968543</v>
      </c>
      <c r="AA5" s="774">
        <f t="shared" ca="1" si="0"/>
        <v>14736.826832773533</v>
      </c>
      <c r="AB5" s="774">
        <f t="shared" ca="1" si="0"/>
        <v>13726.34249228228</v>
      </c>
      <c r="AC5" s="774">
        <f t="shared" ca="1" si="0"/>
        <v>12887.318187849345</v>
      </c>
      <c r="AD5" s="774">
        <f t="shared" ca="1" si="0"/>
        <v>12178.122899752751</v>
      </c>
      <c r="AE5" s="774">
        <f t="shared" ca="1" si="0"/>
        <v>11603.892866121245</v>
      </c>
      <c r="AF5" s="774">
        <f t="shared" ca="1" si="0"/>
        <v>10160.190404752582</v>
      </c>
      <c r="AG5" s="774">
        <f t="shared" ca="1" si="0"/>
        <v>12626.017039867618</v>
      </c>
      <c r="AH5" s="774">
        <f t="shared" ca="1" si="0"/>
        <v>14798.063347379155</v>
      </c>
      <c r="AI5" s="774">
        <f t="shared" ca="1" si="0"/>
        <v>16907.631364347402</v>
      </c>
      <c r="AJ5" s="774">
        <f t="shared" ca="1" si="0"/>
        <v>17744.230903813157</v>
      </c>
      <c r="AK5" s="774">
        <f t="shared" ca="1" si="0"/>
        <v>23173.643194347987</v>
      </c>
      <c r="AL5" s="774">
        <f t="shared" ca="1" si="0"/>
        <v>35601.962633425297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54511.266294128232</v>
      </c>
    </row>
    <row r="8" spans="1:39">
      <c r="A8" t="s">
        <v>419</v>
      </c>
      <c r="B8" s="119">
        <f ca="1">XIRR(D$5:AL$5,D$1:AL$1)</f>
        <v>0.31914007067680372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75" zoomScaleNormal="100" workbookViewId="0">
      <selection activeCell="D16" sqref="D16"/>
    </sheetView>
  </sheetViews>
  <sheetFormatPr defaultRowHeight="15.75"/>
  <cols>
    <col min="1" max="1" width="8.88671875" style="782"/>
    <col min="2" max="2" width="4.109375" style="782" customWidth="1"/>
    <col min="3" max="3" width="8.88671875" style="782"/>
    <col min="4" max="4" width="12.109375" style="782" bestFit="1" customWidth="1"/>
    <col min="5" max="6" width="13.33203125" style="782" customWidth="1"/>
    <col min="7" max="7" width="13.88671875" style="782" customWidth="1"/>
    <col min="8" max="8" width="12.77734375" style="782" customWidth="1"/>
    <col min="9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2000</v>
      </c>
      <c r="E6" s="786">
        <v>2001</v>
      </c>
      <c r="F6" s="786">
        <v>2002</v>
      </c>
      <c r="G6" s="786">
        <v>2003</v>
      </c>
      <c r="H6" s="786">
        <v>2004</v>
      </c>
      <c r="I6" s="786">
        <v>2005</v>
      </c>
      <c r="J6" s="786">
        <v>2006</v>
      </c>
      <c r="K6" s="786">
        <v>2007</v>
      </c>
      <c r="L6" s="786">
        <v>2008</v>
      </c>
      <c r="M6" s="786">
        <v>2009</v>
      </c>
      <c r="N6" s="786">
        <v>2010</v>
      </c>
      <c r="O6" s="786">
        <v>2011</v>
      </c>
      <c r="P6" s="786">
        <v>2012</v>
      </c>
      <c r="Q6" s="786">
        <v>2013</v>
      </c>
      <c r="R6" s="786">
        <v>2014</v>
      </c>
      <c r="S6" s="786">
        <v>2015</v>
      </c>
      <c r="T6" s="786">
        <v>2016</v>
      </c>
      <c r="U6" s="786">
        <v>2017</v>
      </c>
      <c r="V6" s="786">
        <v>2018</v>
      </c>
      <c r="W6" s="786">
        <v>2019</v>
      </c>
      <c r="X6" s="786">
        <v>2020</v>
      </c>
      <c r="Y6" s="785"/>
    </row>
    <row r="7" spans="1:27">
      <c r="A7" s="787"/>
      <c r="B7" s="787"/>
      <c r="C7" s="787"/>
      <c r="D7" s="788"/>
      <c r="E7" s="789"/>
      <c r="F7" s="789"/>
      <c r="G7" s="789"/>
      <c r="H7" s="789"/>
      <c r="I7" s="789"/>
      <c r="J7" s="789"/>
      <c r="K7" s="789"/>
      <c r="L7" s="789"/>
      <c r="M7" s="789"/>
      <c r="N7" s="789"/>
      <c r="O7" s="789"/>
      <c r="P7" s="789"/>
      <c r="Q7" s="789"/>
      <c r="R7" s="789"/>
      <c r="S7" s="789"/>
      <c r="T7" s="789"/>
      <c r="U7" s="789"/>
      <c r="V7" s="789"/>
      <c r="W7" s="789"/>
      <c r="X7" s="789"/>
      <c r="Y7" s="787"/>
    </row>
    <row r="8" spans="1:27">
      <c r="A8" s="790" t="s">
        <v>425</v>
      </c>
      <c r="B8" s="790"/>
      <c r="C8" s="790"/>
      <c r="D8" s="791">
        <v>135</v>
      </c>
      <c r="E8" s="792">
        <v>315</v>
      </c>
      <c r="F8" s="792">
        <v>315</v>
      </c>
      <c r="G8" s="792">
        <v>315</v>
      </c>
      <c r="H8" s="792">
        <v>315</v>
      </c>
      <c r="I8" s="792">
        <v>315</v>
      </c>
      <c r="J8" s="792">
        <v>315</v>
      </c>
      <c r="K8" s="792">
        <v>315</v>
      </c>
      <c r="L8" s="792">
        <v>315</v>
      </c>
      <c r="M8" s="792">
        <v>315</v>
      </c>
      <c r="N8" s="792">
        <v>315</v>
      </c>
      <c r="O8" s="792">
        <v>315</v>
      </c>
      <c r="P8" s="792">
        <v>315</v>
      </c>
      <c r="Q8" s="792">
        <v>315</v>
      </c>
      <c r="R8" s="792">
        <v>315</v>
      </c>
      <c r="S8" s="792">
        <v>315</v>
      </c>
      <c r="T8" s="792">
        <v>315</v>
      </c>
      <c r="U8" s="792">
        <v>315</v>
      </c>
      <c r="V8" s="792">
        <v>315</v>
      </c>
      <c r="W8" s="792">
        <v>315</v>
      </c>
      <c r="X8" s="792">
        <v>315</v>
      </c>
      <c r="Y8" s="792"/>
    </row>
    <row r="9" spans="1:27">
      <c r="A9" s="790" t="s">
        <v>426</v>
      </c>
      <c r="B9" s="790"/>
      <c r="C9" s="790"/>
      <c r="D9" s="793" t="s">
        <v>427</v>
      </c>
      <c r="E9" s="794" t="s">
        <v>428</v>
      </c>
      <c r="F9" s="794" t="s">
        <v>429</v>
      </c>
      <c r="G9" s="794" t="s">
        <v>429</v>
      </c>
      <c r="H9" s="794" t="s">
        <v>429</v>
      </c>
      <c r="I9" s="794" t="s">
        <v>429</v>
      </c>
      <c r="J9" s="794" t="s">
        <v>429</v>
      </c>
      <c r="K9" s="794" t="s">
        <v>429</v>
      </c>
      <c r="L9" s="794" t="s">
        <v>429</v>
      </c>
      <c r="M9" s="794" t="s">
        <v>429</v>
      </c>
      <c r="N9" s="794" t="s">
        <v>429</v>
      </c>
      <c r="O9" s="794" t="s">
        <v>429</v>
      </c>
      <c r="P9" s="794" t="s">
        <v>429</v>
      </c>
      <c r="Q9" s="794" t="s">
        <v>429</v>
      </c>
      <c r="R9" s="794" t="s">
        <v>429</v>
      </c>
      <c r="S9" s="794" t="s">
        <v>429</v>
      </c>
      <c r="T9" s="794" t="s">
        <v>429</v>
      </c>
      <c r="U9" s="794" t="s">
        <v>429</v>
      </c>
      <c r="V9" s="794" t="s">
        <v>429</v>
      </c>
      <c r="W9" s="794" t="s">
        <v>429</v>
      </c>
      <c r="X9" s="794" t="s">
        <v>429</v>
      </c>
      <c r="Y9" s="792"/>
    </row>
    <row r="10" spans="1:27">
      <c r="D10" s="795"/>
      <c r="I10" s="796"/>
    </row>
    <row r="11" spans="1:27">
      <c r="A11" s="782" t="s">
        <v>430</v>
      </c>
      <c r="D11" s="804">
        <f t="shared" ref="D11:X11" si="0">D13-D12</f>
        <v>3341.4719999999998</v>
      </c>
      <c r="E11" s="798">
        <f t="shared" si="0"/>
        <v>17254.768999999971</v>
      </c>
      <c r="F11" s="798">
        <f t="shared" si="0"/>
        <v>15355.241999999998</v>
      </c>
      <c r="G11" s="798">
        <f t="shared" si="0"/>
        <v>14371.159999999989</v>
      </c>
      <c r="H11" s="798">
        <f t="shared" si="0"/>
        <v>13450.762999999992</v>
      </c>
      <c r="I11" s="805">
        <f t="shared" si="0"/>
        <v>12527.356</v>
      </c>
      <c r="J11" s="798">
        <f t="shared" si="0"/>
        <v>11612.152000000002</v>
      </c>
      <c r="K11" s="798">
        <f t="shared" si="0"/>
        <v>10685.498000000007</v>
      </c>
      <c r="L11" s="798">
        <f t="shared" si="0"/>
        <v>9804.4630000000034</v>
      </c>
      <c r="M11" s="798">
        <f t="shared" si="0"/>
        <v>8926.9579999999987</v>
      </c>
      <c r="N11" s="798">
        <f t="shared" si="0"/>
        <v>8068.1710000000094</v>
      </c>
      <c r="O11" s="798">
        <f t="shared" si="0"/>
        <v>7227.7669999999998</v>
      </c>
      <c r="P11" s="798">
        <f t="shared" si="0"/>
        <v>6372.1080000000002</v>
      </c>
      <c r="Q11" s="798">
        <f t="shared" si="0"/>
        <v>5534.7790000000023</v>
      </c>
      <c r="R11" s="798">
        <f t="shared" si="0"/>
        <v>4692.5019999999968</v>
      </c>
      <c r="S11" s="798">
        <f t="shared" si="0"/>
        <v>3853.5870000000032</v>
      </c>
      <c r="T11" s="798">
        <f t="shared" si="0"/>
        <v>3047.5349999999999</v>
      </c>
      <c r="U11" s="798">
        <f t="shared" si="0"/>
        <v>2286.0679999999993</v>
      </c>
      <c r="V11" s="798">
        <f t="shared" si="0"/>
        <v>1572.8760000000002</v>
      </c>
      <c r="W11" s="798">
        <f t="shared" si="0"/>
        <v>868.67699999999968</v>
      </c>
      <c r="X11" s="798">
        <f t="shared" si="0"/>
        <v>184.82300000000001</v>
      </c>
    </row>
    <row r="12" spans="1:27" ht="17.25">
      <c r="A12" s="782" t="s">
        <v>431</v>
      </c>
      <c r="D12" s="806">
        <v>288.101</v>
      </c>
      <c r="E12" s="807">
        <f>138.127+156475.619</f>
        <v>156613.74600000001</v>
      </c>
      <c r="F12" s="807">
        <v>143047.427</v>
      </c>
      <c r="G12" s="807">
        <v>131042.379</v>
      </c>
      <c r="H12" s="807">
        <v>120001.458</v>
      </c>
      <c r="I12" s="808">
        <v>109628.626</v>
      </c>
      <c r="J12" s="807">
        <v>99448.612999999998</v>
      </c>
      <c r="K12" s="807">
        <v>89567.87</v>
      </c>
      <c r="L12" s="807">
        <v>79921.67</v>
      </c>
      <c r="M12" s="807">
        <v>70894.725999999995</v>
      </c>
      <c r="N12" s="807">
        <v>62109.470999999998</v>
      </c>
      <c r="O12" s="807">
        <v>53931.597999999998</v>
      </c>
      <c r="P12" s="807">
        <v>46251.211000000003</v>
      </c>
      <c r="Q12" s="807">
        <v>38977.478999999999</v>
      </c>
      <c r="R12" s="807">
        <v>32216.681</v>
      </c>
      <c r="S12" s="807">
        <v>25968.42</v>
      </c>
      <c r="T12" s="807">
        <v>19955.955000000002</v>
      </c>
      <c r="U12" s="807">
        <v>14413.088</v>
      </c>
      <c r="V12" s="807">
        <v>9206.4429999999993</v>
      </c>
      <c r="W12" s="807">
        <v>4390.7190000000001</v>
      </c>
      <c r="X12" s="807">
        <v>26.256</v>
      </c>
    </row>
    <row r="13" spans="1:27">
      <c r="B13" s="782" t="s">
        <v>432</v>
      </c>
      <c r="D13" s="804">
        <v>3629.5729999999999</v>
      </c>
      <c r="E13" s="809">
        <f>1308.656+172559.859</f>
        <v>173868.51499999998</v>
      </c>
      <c r="F13" s="809">
        <v>158402.66899999999</v>
      </c>
      <c r="G13" s="809">
        <v>145413.53899999999</v>
      </c>
      <c r="H13" s="809">
        <v>133452.22099999999</v>
      </c>
      <c r="I13" s="810">
        <v>122155.982</v>
      </c>
      <c r="J13" s="809">
        <v>111060.765</v>
      </c>
      <c r="K13" s="809">
        <v>100253.368</v>
      </c>
      <c r="L13" s="809">
        <v>89726.133000000002</v>
      </c>
      <c r="M13" s="809">
        <v>79821.683999999994</v>
      </c>
      <c r="N13" s="809">
        <v>70177.642000000007</v>
      </c>
      <c r="O13" s="809">
        <v>61159.364999999998</v>
      </c>
      <c r="P13" s="809">
        <v>52623.319000000003</v>
      </c>
      <c r="Q13" s="809">
        <v>44512.258000000002</v>
      </c>
      <c r="R13" s="809">
        <v>36909.182999999997</v>
      </c>
      <c r="S13" s="809">
        <v>29822.007000000001</v>
      </c>
      <c r="T13" s="809">
        <v>23003.49</v>
      </c>
      <c r="U13" s="809">
        <v>16699.155999999999</v>
      </c>
      <c r="V13" s="809">
        <v>10779.319</v>
      </c>
      <c r="W13" s="809">
        <v>5259.3959999999997</v>
      </c>
      <c r="X13" s="809">
        <v>211.07900000000001</v>
      </c>
    </row>
    <row r="14" spans="1:27">
      <c r="A14" s="797"/>
      <c r="B14" s="797"/>
      <c r="C14" s="797"/>
      <c r="D14" s="797"/>
      <c r="E14" s="797"/>
      <c r="F14" s="797"/>
      <c r="G14" s="797"/>
      <c r="H14" s="797"/>
      <c r="I14" s="797"/>
      <c r="J14" s="797"/>
      <c r="K14" s="797"/>
      <c r="L14" s="797"/>
      <c r="M14" s="797"/>
      <c r="N14" s="797"/>
      <c r="O14" s="797"/>
      <c r="P14" s="797"/>
      <c r="Q14" s="797"/>
      <c r="R14" s="797"/>
      <c r="S14" s="797"/>
      <c r="T14" s="797"/>
      <c r="U14" s="797"/>
      <c r="V14" s="797"/>
      <c r="W14" s="797"/>
      <c r="X14" s="797"/>
      <c r="Y14" s="797"/>
    </row>
    <row r="15" spans="1:27">
      <c r="I15" s="796"/>
    </row>
    <row r="16" spans="1:27">
      <c r="A16" s="782" t="s">
        <v>433</v>
      </c>
      <c r="D16" s="844">
        <f ca="1">OandM!C34-OandM!C21-OandM!C13-OandM!C11-OandM!C14-OandM!C16+OandM!C44</f>
        <v>986.97383617792377</v>
      </c>
      <c r="E16" s="844">
        <f ca="1">OandM!D34-OandM!D21-OandM!D13-OandM!D11-OandM!D16-OandM!D14+OandM!D44</f>
        <v>2791.3941350267269</v>
      </c>
      <c r="F16" s="844">
        <f ca="1">OandM!E34-OandM!E21-OandM!E13-OandM!E11-OandM!E16-OandM!E14+OandM!E44</f>
        <v>2842.4641539090062</v>
      </c>
      <c r="G16" s="798">
        <f ca="1">OandM!F34-OandM!F21-OandM!F13-OandM!F11-OandM!F16-OandM!F14+OandM!F44</f>
        <v>2658.1199210448749</v>
      </c>
      <c r="H16" s="798">
        <f ca="1">OandM!G34-OandM!G21-OandM!G13-OandM!G11-OandM!G16-OandM!G14+OandM!G44</f>
        <v>2714.9257780988901</v>
      </c>
      <c r="I16" s="798">
        <f ca="1">OandM!H34-OandM!H21-OandM!H13-OandM!H11-OandM!H16-OandM!H14+OandM!H44</f>
        <v>2719.4629941428752</v>
      </c>
      <c r="J16" s="798">
        <f ca="1">OandM!I34-OandM!I21-OandM!I13-OandM!I11-OandM!I16-OandM!I14+OandM!I44</f>
        <v>2822.9413915242176</v>
      </c>
      <c r="K16" s="798">
        <f ca="1">OandM!J34-OandM!J21-OandM!J13-OandM!J11-OandM!J16-OandM!J14+OandM!J44</f>
        <v>2932.7786202568104</v>
      </c>
      <c r="L16" s="798">
        <f ca="1">OandM!K34-OandM!K21-OandM!K13-OandM!K11-OandM!K16-OandM!K14+OandM!K44</f>
        <v>2998.3721567959601</v>
      </c>
      <c r="M16" s="798">
        <f ca="1">OandM!L34-OandM!L21-OandM!L13-OandM!L11-OandM!L16-OandM!L14+OandM!L44</f>
        <v>3049.1216947464745</v>
      </c>
      <c r="N16" s="798">
        <f ca="1">OandM!M34-OandM!M21-OandM!M13-OandM!M11-OandM!M16-OandM!M14+OandM!M44</f>
        <v>3119.2453620212746</v>
      </c>
      <c r="O16" s="798">
        <f ca="1">OandM!N34-OandM!N21-OandM!N13-OandM!N11-OandM!N16-OandM!N14+OandM!N44</f>
        <v>3175.829937050657</v>
      </c>
      <c r="P16" s="798">
        <f ca="1">OandM!O34-OandM!O21-OandM!O13-OandM!O11-OandM!O16-OandM!O14+OandM!O44</f>
        <v>23797.085157009093</v>
      </c>
      <c r="Q16" s="798">
        <f ca="1">OandM!P34-OandM!P21-OandM!P13-OandM!P11-OandM!P16-OandM!P14+OandM!P44</f>
        <v>3299.1815009428901</v>
      </c>
      <c r="R16" s="798">
        <f ca="1">OandM!Q34-OandM!Q21-OandM!Q13-OandM!Q11-OandM!Q16-OandM!Q14+OandM!Q44</f>
        <v>3406.7113985489277</v>
      </c>
      <c r="S16" s="798">
        <f ca="1">OandM!R34-OandM!R21-OandM!R13-OandM!R11-OandM!R16-OandM!R14+OandM!R44</f>
        <v>3516.4582074322207</v>
      </c>
      <c r="T16" s="798">
        <f ca="1">OandM!S34-OandM!S21-OandM!S13-OandM!S11-OandM!S16-OandM!S14+OandM!S44</f>
        <v>3628.649794694184</v>
      </c>
      <c r="U16" s="798">
        <f ca="1">OandM!T34-OandM!T21-OandM!T13-OandM!T11-OandM!T16-OandM!T14+OandM!T44</f>
        <v>3711.8920862405503</v>
      </c>
      <c r="V16" s="798">
        <f ca="1">OandM!U34-OandM!U21-OandM!U13-OandM!U11-OandM!U16-OandM!U14+OandM!U44</f>
        <v>3806.5145864687788</v>
      </c>
      <c r="W16" s="798">
        <f ca="1">OandM!V34-OandM!V21-OandM!V13-OandM!V11-OandM!V16-OandM!V14+OandM!V44</f>
        <v>3838.9581367304399</v>
      </c>
      <c r="X16" s="798">
        <f>OandM!W34-OandM!W21-OandM!W13-OandM!W11-OandM!W16-OandM!W14+OandM!W44</f>
        <v>0</v>
      </c>
    </row>
    <row r="17" spans="1:24">
      <c r="A17" s="782" t="s">
        <v>434</v>
      </c>
      <c r="C17" s="799">
        <v>7.0000000000000007E-2</v>
      </c>
      <c r="D17" s="800">
        <f ca="1">(NPV($C$17,D16:$X$16))/(1+$C$17)^D5</f>
        <v>36323.556323857578</v>
      </c>
      <c r="E17" s="800">
        <f ca="1">(NPV($C$17,E16:$X$16))/(1+$C$17)^E5</f>
        <v>35461.495151547417</v>
      </c>
      <c r="F17" s="800">
        <f ca="1">(NPV($C$17,F16:$X$16))/(1+$C$17)^F5</f>
        <v>33182.88604555952</v>
      </c>
      <c r="G17" s="800">
        <f ca="1">(NPV($C$17,G16:$X$16))/(1+$C$17)^G5</f>
        <v>31014.383752125621</v>
      </c>
      <c r="H17" s="800">
        <f ca="1">(NPV($C$17,H16:$X$16))/(1+$C$17)^H5</f>
        <v>29119.180985010404</v>
      </c>
      <c r="I17" s="800">
        <f ca="1">(NPV($C$17,I16:$X$16))/(1+$C$17)^I5</f>
        <v>27310.111304535218</v>
      </c>
      <c r="J17" s="800">
        <f ca="1">(NPV($C$17,J16:$X$16))/(1+$C$17)^J5</f>
        <v>25616.566426868045</v>
      </c>
      <c r="K17" s="800">
        <f ca="1">(NPV($C$17,K16:$X$16))/(1+$C$17)^K5</f>
        <v>23973.588835347455</v>
      </c>
      <c r="L17" s="800">
        <f ca="1">(NPV($C$17,L16:$X$16))/(1+$C$17)^L5</f>
        <v>22378.351584260392</v>
      </c>
      <c r="M17" s="800">
        <f ca="1">(NPV($C$17,M16:$X$16))/(1+$C$17)^M5</f>
        <v>20854.131220796724</v>
      </c>
      <c r="N17" s="800">
        <f ca="1">(NPV($C$17,N16:$X$16))/(1+$C$17)^N5</f>
        <v>19405.515468313559</v>
      </c>
      <c r="O17" s="800">
        <f ca="1">(NPV($C$17,O16:$X$16))/(1+$C$17)^O5</f>
        <v>18020.533223769922</v>
      </c>
      <c r="P17" s="800">
        <f ca="1">(NPV($C$17,P16:$X$16))/(1+$C$17)^P5</f>
        <v>16702.676707353807</v>
      </c>
      <c r="Q17" s="800">
        <f ca="1">(NPV($C$17,Q16:$X$16))/(1+$C$17)^Q5</f>
        <v>7473.7567975082093</v>
      </c>
      <c r="R17" s="800">
        <f ca="1">(NPV($C$17,R16:$X$16))/(1+$C$17)^R5</f>
        <v>6277.9815944137508</v>
      </c>
      <c r="S17" s="800">
        <f ca="1">(NPV($C$17,S16:$X$16))/(1+$C$17)^S5</f>
        <v>5124.0105790171965</v>
      </c>
      <c r="T17" s="800">
        <f ca="1">(NPV($C$17,T16:$X$16))/(1+$C$17)^T5</f>
        <v>4010.7899654068237</v>
      </c>
      <c r="U17" s="800">
        <f ca="1">(NPV($C$17,U16:$X$16))/(1+$C$17)^U5</f>
        <v>2937.203426189039</v>
      </c>
      <c r="V17" s="800">
        <f ca="1">(NPV($C$17,V16:$X$16))/(1+$C$17)^V5</f>
        <v>1910.8343331065369</v>
      </c>
      <c r="W17" s="800">
        <f ca="1">(NPV($C$17,W16:$X$16))/(1+$C$17)^W5</f>
        <v>927.15862947482958</v>
      </c>
      <c r="X17" s="800">
        <f>(NPV($C$17,X16:$X$16))/(1+$C$17)^X5</f>
        <v>0</v>
      </c>
    </row>
    <row r="18" spans="1:24">
      <c r="C18" s="799"/>
      <c r="D18" s="800"/>
      <c r="E18" s="800"/>
      <c r="F18" s="800"/>
      <c r="G18" s="800"/>
      <c r="H18" s="800"/>
      <c r="I18" s="800"/>
      <c r="J18" s="800"/>
      <c r="K18" s="800"/>
      <c r="L18" s="800"/>
      <c r="M18" s="800"/>
      <c r="N18" s="800"/>
      <c r="O18" s="800"/>
      <c r="P18" s="800"/>
      <c r="Q18" s="800"/>
      <c r="R18" s="800"/>
      <c r="S18" s="800"/>
      <c r="T18" s="800"/>
      <c r="U18" s="800"/>
      <c r="V18" s="800"/>
      <c r="W18" s="800"/>
      <c r="X18" s="800"/>
    </row>
    <row r="19" spans="1:24">
      <c r="D19" s="845">
        <f ca="1">D16</f>
        <v>986.97383617792377</v>
      </c>
      <c r="E19" s="823">
        <f ca="1">E16/2</f>
        <v>1395.6970675133634</v>
      </c>
      <c r="F19" s="823">
        <f ca="1">F16/2</f>
        <v>1421.2320769545031</v>
      </c>
      <c r="G19" s="823">
        <f t="shared" ref="G19:X19" ca="1" si="1">G16/2</f>
        <v>1329.0599605224374</v>
      </c>
      <c r="H19" s="823">
        <f t="shared" ca="1" si="1"/>
        <v>1357.462889049445</v>
      </c>
      <c r="I19" s="823">
        <f t="shared" ca="1" si="1"/>
        <v>1359.7314970714376</v>
      </c>
      <c r="J19" s="823">
        <f t="shared" ca="1" si="1"/>
        <v>1411.4706957621088</v>
      </c>
      <c r="K19" s="823">
        <f t="shared" ca="1" si="1"/>
        <v>1466.3893101284052</v>
      </c>
      <c r="L19" s="823">
        <f t="shared" ca="1" si="1"/>
        <v>1499.1860783979801</v>
      </c>
      <c r="M19" s="823">
        <f t="shared" ca="1" si="1"/>
        <v>1524.5608473732373</v>
      </c>
      <c r="N19" s="823">
        <f t="shared" ca="1" si="1"/>
        <v>1559.6226810106373</v>
      </c>
      <c r="O19" s="823">
        <f t="shared" ca="1" si="1"/>
        <v>1587.9149685253285</v>
      </c>
      <c r="P19" s="823">
        <f t="shared" ca="1" si="1"/>
        <v>11898.542578504546</v>
      </c>
      <c r="Q19" s="823">
        <f t="shared" ca="1" si="1"/>
        <v>1649.5907504714451</v>
      </c>
      <c r="R19" s="823">
        <f t="shared" ca="1" si="1"/>
        <v>1703.3556992744639</v>
      </c>
      <c r="S19" s="823">
        <f t="shared" ca="1" si="1"/>
        <v>1758.2291037161103</v>
      </c>
      <c r="T19" s="823">
        <f t="shared" ca="1" si="1"/>
        <v>1814.324897347092</v>
      </c>
      <c r="U19" s="823">
        <f t="shared" ca="1" si="1"/>
        <v>1855.9460431202751</v>
      </c>
      <c r="V19" s="823">
        <f t="shared" ca="1" si="1"/>
        <v>1903.2572932343894</v>
      </c>
      <c r="W19" s="823">
        <f t="shared" ca="1" si="1"/>
        <v>1919.47906836522</v>
      </c>
      <c r="X19" s="823">
        <f t="shared" si="1"/>
        <v>0</v>
      </c>
    </row>
    <row r="21" spans="1:24">
      <c r="A21" s="782" t="s">
        <v>435</v>
      </c>
      <c r="D21" s="798">
        <f>D13+E13</f>
        <v>177498.08799999999</v>
      </c>
      <c r="E21" s="798">
        <f>E13</f>
        <v>173868.51499999998</v>
      </c>
      <c r="F21" s="798">
        <f t="shared" ref="F21:W21" si="2">F13</f>
        <v>158402.66899999999</v>
      </c>
      <c r="G21" s="798">
        <f t="shared" si="2"/>
        <v>145413.53899999999</v>
      </c>
      <c r="H21" s="798">
        <f t="shared" si="2"/>
        <v>133452.22099999999</v>
      </c>
      <c r="I21" s="798">
        <f t="shared" si="2"/>
        <v>122155.982</v>
      </c>
      <c r="J21" s="798">
        <f t="shared" si="2"/>
        <v>111060.765</v>
      </c>
      <c r="K21" s="798">
        <f t="shared" si="2"/>
        <v>100253.368</v>
      </c>
      <c r="L21" s="798">
        <f t="shared" si="2"/>
        <v>89726.133000000002</v>
      </c>
      <c r="M21" s="798">
        <f t="shared" si="2"/>
        <v>79821.683999999994</v>
      </c>
      <c r="N21" s="798">
        <f t="shared" si="2"/>
        <v>70177.642000000007</v>
      </c>
      <c r="O21" s="798">
        <f t="shared" si="2"/>
        <v>61159.364999999998</v>
      </c>
      <c r="P21" s="798">
        <f t="shared" si="2"/>
        <v>52623.319000000003</v>
      </c>
      <c r="Q21" s="798">
        <f t="shared" si="2"/>
        <v>44512.258000000002</v>
      </c>
      <c r="R21" s="798">
        <f t="shared" si="2"/>
        <v>36909.182999999997</v>
      </c>
      <c r="S21" s="798">
        <f t="shared" si="2"/>
        <v>29822.007000000001</v>
      </c>
      <c r="T21" s="798">
        <f t="shared" si="2"/>
        <v>23003.49</v>
      </c>
      <c r="U21" s="798">
        <f t="shared" si="2"/>
        <v>16699.155999999999</v>
      </c>
      <c r="V21" s="798">
        <f t="shared" si="2"/>
        <v>10779.319</v>
      </c>
      <c r="W21" s="798">
        <f t="shared" si="2"/>
        <v>5259.3959999999997</v>
      </c>
      <c r="X21" s="798">
        <v>0</v>
      </c>
    </row>
    <row r="22" spans="1:24">
      <c r="A22" s="782" t="s">
        <v>436</v>
      </c>
      <c r="D22" s="800">
        <f ca="1">-D17</f>
        <v>-36323.556323857578</v>
      </c>
      <c r="E22" s="800">
        <f ca="1">-E17</f>
        <v>-35461.495151547417</v>
      </c>
      <c r="F22" s="800">
        <f t="shared" ref="F22:X22" ca="1" si="3">-F17</f>
        <v>-33182.88604555952</v>
      </c>
      <c r="G22" s="800">
        <f t="shared" ca="1" si="3"/>
        <v>-31014.383752125621</v>
      </c>
      <c r="H22" s="800">
        <f t="shared" ca="1" si="3"/>
        <v>-29119.180985010404</v>
      </c>
      <c r="I22" s="800">
        <f t="shared" ca="1" si="3"/>
        <v>-27310.111304535218</v>
      </c>
      <c r="J22" s="800">
        <f t="shared" ca="1" si="3"/>
        <v>-25616.566426868045</v>
      </c>
      <c r="K22" s="800">
        <f t="shared" ca="1" si="3"/>
        <v>-23973.588835347455</v>
      </c>
      <c r="L22" s="800">
        <f t="shared" ca="1" si="3"/>
        <v>-22378.351584260392</v>
      </c>
      <c r="M22" s="800">
        <f t="shared" ca="1" si="3"/>
        <v>-20854.131220796724</v>
      </c>
      <c r="N22" s="800">
        <f t="shared" ca="1" si="3"/>
        <v>-19405.515468313559</v>
      </c>
      <c r="O22" s="800">
        <f t="shared" ca="1" si="3"/>
        <v>-18020.533223769922</v>
      </c>
      <c r="P22" s="800">
        <f t="shared" ca="1" si="3"/>
        <v>-16702.676707353807</v>
      </c>
      <c r="Q22" s="800">
        <f t="shared" ca="1" si="3"/>
        <v>-7473.7567975082093</v>
      </c>
      <c r="R22" s="800">
        <f t="shared" ca="1" si="3"/>
        <v>-6277.9815944137508</v>
      </c>
      <c r="S22" s="800">
        <f t="shared" ca="1" si="3"/>
        <v>-5124.0105790171965</v>
      </c>
      <c r="T22" s="800">
        <f t="shared" ca="1" si="3"/>
        <v>-4010.7899654068237</v>
      </c>
      <c r="U22" s="800">
        <f t="shared" ca="1" si="3"/>
        <v>-2937.203426189039</v>
      </c>
      <c r="V22" s="800">
        <f t="shared" ca="1" si="3"/>
        <v>-1910.8343331065369</v>
      </c>
      <c r="W22" s="800">
        <f t="shared" ca="1" si="3"/>
        <v>-927.15862947482958</v>
      </c>
      <c r="X22" s="800">
        <f t="shared" si="3"/>
        <v>0</v>
      </c>
    </row>
    <row r="23" spans="1:24">
      <c r="A23" s="782" t="s">
        <v>437</v>
      </c>
      <c r="D23" s="801">
        <f ca="1">SUM(D21:D22)</f>
        <v>141174.53167614242</v>
      </c>
      <c r="E23" s="801">
        <f ca="1">SUM(E21:E22)</f>
        <v>138407.01984845256</v>
      </c>
      <c r="F23" s="801">
        <f t="shared" ref="F23:X23" ca="1" si="4">SUM(F21:F22)</f>
        <v>125219.78295444048</v>
      </c>
      <c r="G23" s="801">
        <f t="shared" ca="1" si="4"/>
        <v>114399.15524787437</v>
      </c>
      <c r="H23" s="801">
        <f t="shared" ca="1" si="4"/>
        <v>104333.04001498959</v>
      </c>
      <c r="I23" s="801">
        <f t="shared" ca="1" si="4"/>
        <v>94845.870695464779</v>
      </c>
      <c r="J23" s="801">
        <f t="shared" ca="1" si="4"/>
        <v>85444.198573131958</v>
      </c>
      <c r="K23" s="801">
        <f t="shared" ca="1" si="4"/>
        <v>76279.779164652544</v>
      </c>
      <c r="L23" s="801">
        <f t="shared" ca="1" si="4"/>
        <v>67347.781415739606</v>
      </c>
      <c r="M23" s="801">
        <f t="shared" ca="1" si="4"/>
        <v>58967.552779203266</v>
      </c>
      <c r="N23" s="801">
        <f t="shared" ca="1" si="4"/>
        <v>50772.126531686445</v>
      </c>
      <c r="O23" s="801">
        <f t="shared" ca="1" si="4"/>
        <v>43138.831776230072</v>
      </c>
      <c r="P23" s="801">
        <f t="shared" ca="1" si="4"/>
        <v>35920.642292646196</v>
      </c>
      <c r="Q23" s="801">
        <f t="shared" ca="1" si="4"/>
        <v>37038.501202491796</v>
      </c>
      <c r="R23" s="801">
        <f t="shared" ca="1" si="4"/>
        <v>30631.201405586246</v>
      </c>
      <c r="S23" s="801">
        <f t="shared" ca="1" si="4"/>
        <v>24697.996420982803</v>
      </c>
      <c r="T23" s="801">
        <f t="shared" ca="1" si="4"/>
        <v>18992.700034593177</v>
      </c>
      <c r="U23" s="801">
        <f t="shared" ca="1" si="4"/>
        <v>13761.952573810961</v>
      </c>
      <c r="V23" s="801">
        <f t="shared" ca="1" si="4"/>
        <v>8868.4846668934624</v>
      </c>
      <c r="W23" s="801">
        <f t="shared" ca="1" si="4"/>
        <v>4332.2373705251703</v>
      </c>
      <c r="X23" s="801">
        <f t="shared" si="4"/>
        <v>0</v>
      </c>
    </row>
    <row r="24" spans="1:24">
      <c r="A24" s="782" t="s">
        <v>438</v>
      </c>
      <c r="D24" s="802">
        <f ca="1">D23/315</f>
        <v>448.17311643219813</v>
      </c>
      <c r="E24" s="802">
        <f t="shared" ref="E24:X24" ca="1" si="5">E23/315</f>
        <v>439.38736459826208</v>
      </c>
      <c r="F24" s="802">
        <f t="shared" ca="1" si="5"/>
        <v>397.52312049028723</v>
      </c>
      <c r="G24" s="802">
        <f t="shared" ca="1" si="5"/>
        <v>363.17192142182341</v>
      </c>
      <c r="H24" s="802">
        <f t="shared" ca="1" si="5"/>
        <v>331.21600004758596</v>
      </c>
      <c r="I24" s="802">
        <f t="shared" ca="1" si="5"/>
        <v>301.09800220782472</v>
      </c>
      <c r="J24" s="802">
        <f t="shared" ca="1" si="5"/>
        <v>271.25142404168878</v>
      </c>
      <c r="K24" s="802">
        <f t="shared" ca="1" si="5"/>
        <v>242.15802909413506</v>
      </c>
      <c r="L24" s="802">
        <f t="shared" ca="1" si="5"/>
        <v>213.80248068488763</v>
      </c>
      <c r="M24" s="802">
        <f t="shared" ca="1" si="5"/>
        <v>187.19858025143893</v>
      </c>
      <c r="N24" s="802">
        <f t="shared" ca="1" si="5"/>
        <v>161.18135406884585</v>
      </c>
      <c r="O24" s="802">
        <f t="shared" ca="1" si="5"/>
        <v>136.94867230549229</v>
      </c>
      <c r="P24" s="802">
        <f t="shared" ca="1" si="5"/>
        <v>114.03378505601967</v>
      </c>
      <c r="Q24" s="802">
        <f t="shared" ca="1" si="5"/>
        <v>117.58254349997395</v>
      </c>
      <c r="R24" s="802">
        <f t="shared" ca="1" si="5"/>
        <v>97.241909224083315</v>
      </c>
      <c r="S24" s="802">
        <f t="shared" ca="1" si="5"/>
        <v>78.406337844389853</v>
      </c>
      <c r="T24" s="802">
        <f t="shared" ca="1" si="5"/>
        <v>60.294285824105323</v>
      </c>
      <c r="U24" s="802">
        <f t="shared" ca="1" si="5"/>
        <v>43.688738329558603</v>
      </c>
      <c r="V24" s="802">
        <f t="shared" ca="1" si="5"/>
        <v>28.153919577439563</v>
      </c>
      <c r="W24" s="802">
        <f t="shared" ca="1" si="5"/>
        <v>13.753134509603715</v>
      </c>
      <c r="X24" s="802">
        <f t="shared" si="5"/>
        <v>0</v>
      </c>
    </row>
    <row r="26" spans="1:24">
      <c r="A26" s="782" t="s">
        <v>439</v>
      </c>
      <c r="D26" s="798">
        <f>'ENA Debt'!C20</f>
        <v>118125</v>
      </c>
      <c r="E26" s="798">
        <f ca="1">'ENA Debt'!D20</f>
        <v>118125</v>
      </c>
      <c r="F26" s="798">
        <f ca="1">'ENA Debt'!E20</f>
        <v>116139.18709601989</v>
      </c>
      <c r="G26" s="798">
        <f ca="1">'ENA Debt'!F20</f>
        <v>113919.29186216624</v>
      </c>
      <c r="H26" s="798">
        <f ca="1">'ENA Debt'!G20</f>
        <v>111159.92158167947</v>
      </c>
      <c r="I26" s="798">
        <f ca="1">'ENA Debt'!H20</f>
        <v>107862.97055031684</v>
      </c>
      <c r="J26" s="798">
        <f ca="1">'ENA Debt'!I20</f>
        <v>104566.0195189542</v>
      </c>
      <c r="K26" s="798">
        <f ca="1">'ENA Debt'!J20</f>
        <v>100056.57736831481</v>
      </c>
      <c r="L26" s="798">
        <f ca="1">'ENA Debt'!K20</f>
        <v>95547.135217675401</v>
      </c>
      <c r="M26" s="798">
        <f ca="1">'ENA Debt'!L20</f>
        <v>89633.161382558668</v>
      </c>
      <c r="N26" s="798">
        <f ca="1">'ENA Debt'!M20</f>
        <v>83719.187547441936</v>
      </c>
      <c r="O26" s="798">
        <f ca="1">'ENA Debt'!N20</f>
        <v>76240.861017735515</v>
      </c>
      <c r="P26" s="798">
        <f ca="1">'ENA Debt'!O20</f>
        <v>68762.53448802908</v>
      </c>
      <c r="Q26" s="798">
        <f ca="1">'ENA Debt'!P20</f>
        <v>61084.40948802908</v>
      </c>
      <c r="R26" s="798">
        <f ca="1">'ENA Debt'!Q20</f>
        <v>53406.28448802908</v>
      </c>
      <c r="S26" s="798">
        <f ca="1">'ENA Debt'!R20</f>
        <v>44519.01724702007</v>
      </c>
      <c r="T26" s="798">
        <f ca="1">'ENA Debt'!S20</f>
        <v>35631.750006011047</v>
      </c>
      <c r="U26" s="798">
        <f ca="1">'ENA Debt'!T20</f>
        <v>26772.375006011047</v>
      </c>
      <c r="V26" s="798">
        <f ca="1">'ENA Debt'!U20</f>
        <v>17913.000006011047</v>
      </c>
      <c r="W26" s="798">
        <f ca="1">'ENA Debt'!V20</f>
        <v>12006.750006011047</v>
      </c>
      <c r="X26" s="798">
        <f ca="1">'ENA Debt'!W20</f>
        <v>6100.5000060110469</v>
      </c>
    </row>
    <row r="27" spans="1:24">
      <c r="A27" s="782" t="s">
        <v>438</v>
      </c>
      <c r="D27" s="802">
        <f>D26/315</f>
        <v>375</v>
      </c>
      <c r="E27" s="802">
        <f t="shared" ref="E27:X27" ca="1" si="6">E26/315</f>
        <v>375</v>
      </c>
      <c r="F27" s="802">
        <f t="shared" ca="1" si="6"/>
        <v>368.69583205085678</v>
      </c>
      <c r="G27" s="802">
        <f t="shared" ca="1" si="6"/>
        <v>361.64854559417853</v>
      </c>
      <c r="H27" s="802">
        <f t="shared" ca="1" si="6"/>
        <v>352.88863994183959</v>
      </c>
      <c r="I27" s="802">
        <f t="shared" ca="1" si="6"/>
        <v>342.42212873116455</v>
      </c>
      <c r="J27" s="802">
        <f t="shared" ca="1" si="6"/>
        <v>331.95561752048951</v>
      </c>
      <c r="K27" s="802">
        <f t="shared" ca="1" si="6"/>
        <v>317.63992815338037</v>
      </c>
      <c r="L27" s="802">
        <f t="shared" ca="1" si="6"/>
        <v>303.32423878627111</v>
      </c>
      <c r="M27" s="802">
        <f t="shared" ca="1" si="6"/>
        <v>284.5497186747894</v>
      </c>
      <c r="N27" s="802">
        <f t="shared" ca="1" si="6"/>
        <v>265.77519856330775</v>
      </c>
      <c r="O27" s="802">
        <f t="shared" ca="1" si="6"/>
        <v>242.0344794213826</v>
      </c>
      <c r="P27" s="802">
        <f t="shared" ca="1" si="6"/>
        <v>218.29376027945739</v>
      </c>
      <c r="Q27" s="802">
        <f t="shared" ca="1" si="6"/>
        <v>193.91876027945739</v>
      </c>
      <c r="R27" s="802">
        <f t="shared" ca="1" si="6"/>
        <v>169.54376027945739</v>
      </c>
      <c r="S27" s="802">
        <f t="shared" ca="1" si="6"/>
        <v>141.3302134826034</v>
      </c>
      <c r="T27" s="802">
        <f t="shared" ca="1" si="6"/>
        <v>113.11666668574935</v>
      </c>
      <c r="U27" s="802">
        <f t="shared" ca="1" si="6"/>
        <v>84.991666685749351</v>
      </c>
      <c r="V27" s="802">
        <f t="shared" ca="1" si="6"/>
        <v>56.866666685749358</v>
      </c>
      <c r="W27" s="802">
        <f t="shared" ca="1" si="6"/>
        <v>38.116666685749358</v>
      </c>
      <c r="X27" s="802">
        <f t="shared" ca="1" si="6"/>
        <v>19.366666685749355</v>
      </c>
    </row>
    <row r="29" spans="1:24">
      <c r="A29" s="782" t="s">
        <v>440</v>
      </c>
      <c r="D29" s="803">
        <f ca="1">D24-D27</f>
        <v>73.173116432198128</v>
      </c>
      <c r="E29" s="803">
        <f t="shared" ref="E29:X29" ca="1" si="7">E24-E27</f>
        <v>64.387364598262081</v>
      </c>
      <c r="F29" s="803">
        <f t="shared" ca="1" si="7"/>
        <v>28.827288439430447</v>
      </c>
      <c r="G29" s="803">
        <f t="shared" ca="1" si="7"/>
        <v>1.5233758276448839</v>
      </c>
      <c r="H29" s="803">
        <f t="shared" ca="1" si="7"/>
        <v>-21.672639894253621</v>
      </c>
      <c r="I29" s="803">
        <f t="shared" ca="1" si="7"/>
        <v>-41.324126523339828</v>
      </c>
      <c r="J29" s="803">
        <f t="shared" ca="1" si="7"/>
        <v>-60.704193478800732</v>
      </c>
      <c r="K29" s="803">
        <f t="shared" ca="1" si="7"/>
        <v>-75.481899059245308</v>
      </c>
      <c r="L29" s="803">
        <f t="shared" ca="1" si="7"/>
        <v>-89.521758101383483</v>
      </c>
      <c r="M29" s="803">
        <f t="shared" ca="1" si="7"/>
        <v>-97.351138423350477</v>
      </c>
      <c r="N29" s="803">
        <f t="shared" ca="1" si="7"/>
        <v>-104.59384449446191</v>
      </c>
      <c r="O29" s="803">
        <f t="shared" ca="1" si="7"/>
        <v>-105.0858071158903</v>
      </c>
      <c r="P29" s="803">
        <f t="shared" ca="1" si="7"/>
        <v>-104.25997522343772</v>
      </c>
      <c r="Q29" s="803">
        <f t="shared" ca="1" si="7"/>
        <v>-76.336216779483436</v>
      </c>
      <c r="R29" s="803">
        <f t="shared" ca="1" si="7"/>
        <v>-72.301851055374073</v>
      </c>
      <c r="S29" s="803">
        <f t="shared" ca="1" si="7"/>
        <v>-62.923875638213545</v>
      </c>
      <c r="T29" s="803">
        <f t="shared" ca="1" si="7"/>
        <v>-52.822380861644028</v>
      </c>
      <c r="U29" s="803">
        <f t="shared" ca="1" si="7"/>
        <v>-41.302928356190748</v>
      </c>
      <c r="V29" s="803">
        <f t="shared" ca="1" si="7"/>
        <v>-28.712747108309795</v>
      </c>
      <c r="W29" s="803">
        <f t="shared" ca="1" si="7"/>
        <v>-24.363532176145643</v>
      </c>
      <c r="X29" s="803">
        <f t="shared" ca="1" si="7"/>
        <v>-19.366666685749355</v>
      </c>
    </row>
    <row r="31" spans="1:24">
      <c r="D31" s="820">
        <v>99985999.839548931</v>
      </c>
      <c r="E31" s="782">
        <v>93551390.07684584</v>
      </c>
      <c r="F31" s="782">
        <v>87491484.602945432</v>
      </c>
      <c r="G31" s="782">
        <v>81828522.704920158</v>
      </c>
      <c r="H31" s="782">
        <v>76306112.916078985</v>
      </c>
      <c r="I31" s="782">
        <v>71014178.633394286</v>
      </c>
      <c r="J31" s="782">
        <v>65831615.613365315</v>
      </c>
      <c r="K31" s="782">
        <v>60732075.875586517</v>
      </c>
      <c r="L31" s="782">
        <v>55537158.461356468</v>
      </c>
      <c r="M31" s="782">
        <v>50579096.256008282</v>
      </c>
      <c r="N31" s="782">
        <v>45666421.137754805</v>
      </c>
      <c r="O31" s="782">
        <v>40888400.348361887</v>
      </c>
      <c r="P31" s="782">
        <v>36299226.474739678</v>
      </c>
      <c r="Q31" s="782">
        <v>31788400.242337156</v>
      </c>
      <c r="R31" s="782">
        <v>27459753.715427317</v>
      </c>
      <c r="S31" s="782">
        <v>23364865.931039035</v>
      </c>
      <c r="T31" s="782">
        <v>19414286.08395062</v>
      </c>
      <c r="U31" s="782">
        <v>15825613.038721051</v>
      </c>
      <c r="V31" s="782">
        <v>12518393.295802344</v>
      </c>
      <c r="W31" s="782">
        <v>9411917.5974087473</v>
      </c>
      <c r="X31" s="782">
        <v>6549851.1193869784</v>
      </c>
    </row>
    <row r="32" spans="1:24">
      <c r="D32" s="823">
        <f>D31-$X$31/2</f>
        <v>96711074.279855445</v>
      </c>
      <c r="E32" s="823">
        <f t="shared" ref="E32:X32" si="8">E31-$X$31/2</f>
        <v>90276464.517152354</v>
      </c>
      <c r="F32" s="823">
        <f t="shared" si="8"/>
        <v>84216559.043251947</v>
      </c>
      <c r="G32" s="823">
        <f t="shared" si="8"/>
        <v>78553597.145226672</v>
      </c>
      <c r="H32" s="823">
        <f t="shared" si="8"/>
        <v>73031187.356385499</v>
      </c>
      <c r="I32" s="823">
        <f t="shared" si="8"/>
        <v>67739253.073700801</v>
      </c>
      <c r="J32" s="823">
        <f t="shared" si="8"/>
        <v>62556690.053671822</v>
      </c>
      <c r="K32" s="823">
        <f t="shared" si="8"/>
        <v>57457150.315893024</v>
      </c>
      <c r="L32" s="823">
        <f t="shared" si="8"/>
        <v>52262232.901662976</v>
      </c>
      <c r="M32" s="823">
        <f t="shared" si="8"/>
        <v>47304170.696314797</v>
      </c>
      <c r="N32" s="823">
        <f t="shared" si="8"/>
        <v>42391495.578061312</v>
      </c>
      <c r="O32" s="823">
        <f t="shared" si="8"/>
        <v>37613474.788668394</v>
      </c>
      <c r="P32" s="823">
        <f t="shared" si="8"/>
        <v>33024300.915046189</v>
      </c>
      <c r="Q32" s="823">
        <f t="shared" si="8"/>
        <v>28513474.682643667</v>
      </c>
      <c r="R32" s="823">
        <f t="shared" si="8"/>
        <v>24184828.155733828</v>
      </c>
      <c r="S32" s="823">
        <f t="shared" si="8"/>
        <v>20089940.371345546</v>
      </c>
      <c r="T32" s="823">
        <f t="shared" si="8"/>
        <v>16139360.524257131</v>
      </c>
      <c r="U32" s="823">
        <f t="shared" si="8"/>
        <v>12550687.479027562</v>
      </c>
      <c r="V32" s="823">
        <f t="shared" si="8"/>
        <v>9243467.7361088544</v>
      </c>
      <c r="W32" s="823">
        <f t="shared" si="8"/>
        <v>6136992.0377152581</v>
      </c>
      <c r="X32" s="823">
        <f t="shared" si="8"/>
        <v>3274925.5596934892</v>
      </c>
    </row>
    <row r="34" spans="4:25">
      <c r="D34" s="782">
        <f>D32*118125000/$E$32</f>
        <v>126544561.86792059</v>
      </c>
      <c r="E34" s="782">
        <f t="shared" ref="E34:X34" si="9">E32*118125000/$E$32</f>
        <v>118125000</v>
      </c>
      <c r="F34" s="782">
        <f t="shared" si="9"/>
        <v>110195731.41451524</v>
      </c>
      <c r="G34" s="782">
        <f t="shared" si="9"/>
        <v>102785855.7865531</v>
      </c>
      <c r="H34" s="782">
        <f t="shared" si="9"/>
        <v>95559889.862921685</v>
      </c>
      <c r="I34" s="782">
        <f t="shared" si="9"/>
        <v>88635496.661597773</v>
      </c>
      <c r="J34" s="782">
        <f t="shared" si="9"/>
        <v>81854213.632679328</v>
      </c>
      <c r="K34" s="782">
        <f t="shared" si="9"/>
        <v>75181564.95567371</v>
      </c>
      <c r="L34" s="782">
        <f t="shared" si="9"/>
        <v>68384116.441954702</v>
      </c>
      <c r="M34" s="782">
        <f t="shared" si="9"/>
        <v>61896588.367619477</v>
      </c>
      <c r="N34" s="782">
        <f t="shared" si="9"/>
        <v>55468448.415002763</v>
      </c>
      <c r="O34" s="782">
        <f t="shared" si="9"/>
        <v>49216501.035740882</v>
      </c>
      <c r="P34" s="782">
        <f t="shared" si="9"/>
        <v>43211656.176994495</v>
      </c>
      <c r="Q34" s="782">
        <f t="shared" si="9"/>
        <v>37309327.684707239</v>
      </c>
      <c r="R34" s="782">
        <f t="shared" si="9"/>
        <v>31645377.79781203</v>
      </c>
      <c r="S34" s="782">
        <f t="shared" si="9"/>
        <v>26287296.684223864</v>
      </c>
      <c r="T34" s="782">
        <f t="shared" si="9"/>
        <v>21118039.703090604</v>
      </c>
      <c r="U34" s="782">
        <f t="shared" si="9"/>
        <v>16422330.741346756</v>
      </c>
      <c r="V34" s="782">
        <f t="shared" si="9"/>
        <v>12094897.95782158</v>
      </c>
      <c r="W34" s="782">
        <f t="shared" si="9"/>
        <v>8030134.8566588936</v>
      </c>
      <c r="X34" s="782">
        <f t="shared" si="9"/>
        <v>4285176.4721611645</v>
      </c>
    </row>
    <row r="36" spans="4:25">
      <c r="E36" s="822">
        <f>(E34-F34)/$E$34</f>
        <v>6.7126083263363029E-2</v>
      </c>
      <c r="F36" s="822">
        <f t="shared" ref="F36:X36" si="10">(F34-G34)/$E$34</f>
        <v>6.2729105845182154E-2</v>
      </c>
      <c r="G36" s="822">
        <f t="shared" si="10"/>
        <v>6.1172198295292399E-2</v>
      </c>
      <c r="H36" s="822">
        <f t="shared" si="10"/>
        <v>5.861920170432941E-2</v>
      </c>
      <c r="I36" s="822">
        <f t="shared" si="10"/>
        <v>5.7407687017299008E-2</v>
      </c>
      <c r="J36" s="822">
        <f t="shared" si="10"/>
        <v>5.6488031128089894E-2</v>
      </c>
      <c r="K36" s="822">
        <f t="shared" si="10"/>
        <v>5.7544537682277311E-2</v>
      </c>
      <c r="L36" s="822">
        <f t="shared" si="10"/>
        <v>5.4920872586964868E-2</v>
      </c>
      <c r="M36" s="822">
        <f t="shared" si="10"/>
        <v>5.4418116000988052E-2</v>
      </c>
      <c r="N36" s="822">
        <f t="shared" si="10"/>
        <v>5.2926538660418042E-2</v>
      </c>
      <c r="O36" s="822">
        <f t="shared" si="10"/>
        <v>5.0834665470868887E-2</v>
      </c>
      <c r="P36" s="822">
        <f t="shared" si="10"/>
        <v>4.9966802051109045E-2</v>
      </c>
      <c r="Q36" s="822">
        <f t="shared" si="10"/>
        <v>4.7948782111282194E-2</v>
      </c>
      <c r="R36" s="822">
        <f t="shared" si="10"/>
        <v>4.5359416834608805E-2</v>
      </c>
      <c r="S36" s="822">
        <f t="shared" si="10"/>
        <v>4.3760905660387386E-2</v>
      </c>
      <c r="T36" s="822">
        <f t="shared" si="10"/>
        <v>3.9752033538572262E-2</v>
      </c>
      <c r="U36" s="822">
        <f t="shared" si="10"/>
        <v>3.6634351606562338E-2</v>
      </c>
      <c r="V36" s="822">
        <f t="shared" si="10"/>
        <v>3.4410692919895756E-2</v>
      </c>
      <c r="W36" s="822">
        <f t="shared" si="10"/>
        <v>3.1703351403155382E-2</v>
      </c>
      <c r="X36" s="822">
        <f t="shared" si="10"/>
        <v>3.6276626219353771E-2</v>
      </c>
    </row>
    <row r="38" spans="4:25">
      <c r="D38" s="821">
        <f>D32*102375000/$E$32</f>
        <v>109671953.61886452</v>
      </c>
      <c r="E38" s="821">
        <f t="shared" ref="E38:X38" si="11">E32*102375000/$E$32</f>
        <v>102375000</v>
      </c>
      <c r="F38" s="821">
        <f t="shared" si="11"/>
        <v>95502967.225913212</v>
      </c>
      <c r="G38" s="821">
        <f t="shared" si="11"/>
        <v>89081075.015012696</v>
      </c>
      <c r="H38" s="821">
        <f t="shared" si="11"/>
        <v>82818571.214532122</v>
      </c>
      <c r="I38" s="821">
        <f t="shared" si="11"/>
        <v>76817430.440051392</v>
      </c>
      <c r="J38" s="821">
        <f t="shared" si="11"/>
        <v>70940318.481655419</v>
      </c>
      <c r="K38" s="821">
        <f t="shared" si="11"/>
        <v>65157356.294917218</v>
      </c>
      <c r="L38" s="821">
        <f t="shared" si="11"/>
        <v>59266234.249694079</v>
      </c>
      <c r="M38" s="821">
        <f t="shared" si="11"/>
        <v>53643709.918603547</v>
      </c>
      <c r="N38" s="821">
        <f t="shared" si="11"/>
        <v>48072655.293002397</v>
      </c>
      <c r="O38" s="821">
        <f t="shared" si="11"/>
        <v>42654300.897642098</v>
      </c>
      <c r="P38" s="821">
        <f t="shared" si="11"/>
        <v>37450102.020061895</v>
      </c>
      <c r="Q38" s="821">
        <f t="shared" si="11"/>
        <v>32334750.66007961</v>
      </c>
      <c r="R38" s="821">
        <f t="shared" si="11"/>
        <v>27425994.09143709</v>
      </c>
      <c r="S38" s="821">
        <f t="shared" si="11"/>
        <v>22782323.792994019</v>
      </c>
      <c r="T38" s="821">
        <f t="shared" si="11"/>
        <v>18302301.076011855</v>
      </c>
      <c r="U38" s="821">
        <f t="shared" si="11"/>
        <v>14232686.642500523</v>
      </c>
      <c r="V38" s="821">
        <f t="shared" si="11"/>
        <v>10482244.896778705</v>
      </c>
      <c r="W38" s="821">
        <f t="shared" si="11"/>
        <v>6959450.2091043731</v>
      </c>
      <c r="X38" s="821">
        <f t="shared" si="11"/>
        <v>3713819.6092063417</v>
      </c>
    </row>
    <row r="40" spans="4:25">
      <c r="E40" s="822">
        <f>(E38-F38)/$E38</f>
        <v>6.7126083263363015E-2</v>
      </c>
      <c r="F40" s="822">
        <f t="shared" ref="F40:X40" si="12">(F38-G38)/$E$38</f>
        <v>6.2729105845182084E-2</v>
      </c>
      <c r="G40" s="822">
        <f t="shared" si="12"/>
        <v>6.1172198295292544E-2</v>
      </c>
      <c r="H40" s="822">
        <f t="shared" si="12"/>
        <v>5.8619201704329479E-2</v>
      </c>
      <c r="I40" s="822">
        <f t="shared" si="12"/>
        <v>5.7407687017298883E-2</v>
      </c>
      <c r="J40" s="822">
        <f t="shared" si="12"/>
        <v>5.6488031128089873E-2</v>
      </c>
      <c r="K40" s="822">
        <f t="shared" si="12"/>
        <v>5.7544537682277304E-2</v>
      </c>
      <c r="L40" s="822">
        <f t="shared" si="12"/>
        <v>5.4920872586964903E-2</v>
      </c>
      <c r="M40" s="822">
        <f t="shared" si="12"/>
        <v>5.4418116000988039E-2</v>
      </c>
      <c r="N40" s="822">
        <f t="shared" si="12"/>
        <v>5.2926538660418056E-2</v>
      </c>
      <c r="O40" s="822">
        <f t="shared" si="12"/>
        <v>5.0834665470868894E-2</v>
      </c>
      <c r="P40" s="822">
        <f t="shared" si="12"/>
        <v>4.9966802051109017E-2</v>
      </c>
      <c r="Q40" s="822">
        <f t="shared" si="12"/>
        <v>4.7948782111282243E-2</v>
      </c>
      <c r="R40" s="822">
        <f t="shared" si="12"/>
        <v>4.5359416834608757E-2</v>
      </c>
      <c r="S40" s="822">
        <f t="shared" si="12"/>
        <v>4.3760905660387435E-2</v>
      </c>
      <c r="T40" s="822">
        <f t="shared" si="12"/>
        <v>3.9752033538572228E-2</v>
      </c>
      <c r="U40" s="822">
        <f t="shared" si="12"/>
        <v>3.6634351606562331E-2</v>
      </c>
      <c r="V40" s="822">
        <f t="shared" si="12"/>
        <v>3.4410692919895791E-2</v>
      </c>
      <c r="W40" s="822">
        <f t="shared" si="12"/>
        <v>3.1703351403155375E-2</v>
      </c>
      <c r="X40" s="822">
        <f t="shared" si="12"/>
        <v>3.6276626219353764E-2</v>
      </c>
    </row>
    <row r="43" spans="4:25">
      <c r="D43" s="825">
        <v>36617</v>
      </c>
      <c r="E43" s="825">
        <v>36982</v>
      </c>
      <c r="F43" s="825">
        <v>37347</v>
      </c>
      <c r="G43" s="825">
        <v>37712</v>
      </c>
      <c r="H43" s="825">
        <v>38078</v>
      </c>
      <c r="I43" s="825">
        <v>38444</v>
      </c>
      <c r="J43" s="825">
        <v>38808</v>
      </c>
      <c r="K43" s="825">
        <v>37347</v>
      </c>
      <c r="L43" s="825">
        <v>39539</v>
      </c>
      <c r="M43" s="825">
        <v>39904</v>
      </c>
      <c r="N43" s="825">
        <v>40269</v>
      </c>
      <c r="O43" s="825">
        <v>40634</v>
      </c>
      <c r="P43" s="825">
        <v>41000</v>
      </c>
      <c r="Q43" s="825">
        <v>41365</v>
      </c>
      <c r="R43" s="825">
        <v>41730</v>
      </c>
      <c r="S43" s="825">
        <v>42095</v>
      </c>
      <c r="T43" s="825">
        <v>42461</v>
      </c>
      <c r="U43" s="825">
        <v>42826</v>
      </c>
      <c r="V43" s="825">
        <v>43191</v>
      </c>
      <c r="W43" s="825">
        <v>43556</v>
      </c>
      <c r="X43" s="825">
        <v>43922</v>
      </c>
      <c r="Y43" s="825">
        <v>44105</v>
      </c>
    </row>
    <row r="44" spans="4:25">
      <c r="D44" s="782">
        <v>134921749.54653946</v>
      </c>
      <c r="E44" s="782">
        <v>131743725.11320361</v>
      </c>
      <c r="F44" s="782">
        <v>129528966.26157856</v>
      </c>
      <c r="G44" s="782">
        <v>127053137.54226491</v>
      </c>
      <c r="H44" s="782">
        <v>123975637.26952</v>
      </c>
      <c r="I44" s="782">
        <f>AVERAGE(H44,J44)</f>
        <v>120298578.13396417</v>
      </c>
      <c r="J44" s="782">
        <v>116621518.99840833</v>
      </c>
      <c r="K44" s="782">
        <f>AVERAGE(J44,L44)</f>
        <v>111592179.67897782</v>
      </c>
      <c r="L44" s="782">
        <v>106562840.35954729</v>
      </c>
      <c r="M44" s="782">
        <f>AVERAGE(L44,N44)</f>
        <v>99967039.781682327</v>
      </c>
      <c r="N44" s="782">
        <v>93371239.203817368</v>
      </c>
      <c r="O44" s="782">
        <f>AVERAGE(N44,P44)</f>
        <v>85030730.466154546</v>
      </c>
      <c r="P44" s="782">
        <v>76690221.728491709</v>
      </c>
      <c r="Q44" s="782">
        <f>AVERAGE(P44,R44)</f>
        <v>78366953.325643212</v>
      </c>
      <c r="R44" s="782">
        <v>80043684.922794715</v>
      </c>
      <c r="S44" s="782">
        <f>AVERAGE(R44,T44)</f>
        <v>70131797.579666078</v>
      </c>
      <c r="T44" s="782">
        <v>60219910.236537427</v>
      </c>
      <c r="U44" s="782">
        <f>AVERAGE(T44,V44)</f>
        <v>54365549.56701088</v>
      </c>
      <c r="V44" s="782">
        <v>48511188.897484325</v>
      </c>
      <c r="W44" s="782">
        <v>36519301.376975343</v>
      </c>
      <c r="X44" s="782">
        <v>24062331.709243521</v>
      </c>
      <c r="Y44" s="782">
        <v>6767554.5</v>
      </c>
    </row>
    <row r="45" spans="4:25">
      <c r="E45" s="822">
        <f>(E44-F44)/$E44</f>
        <v>1.6811114531048641E-2</v>
      </c>
      <c r="F45" s="822">
        <f t="shared" ref="F45:S45" si="13">(F44-G44)/$E44</f>
        <v>1.8792763884475275E-2</v>
      </c>
      <c r="G45" s="822">
        <f t="shared" si="13"/>
        <v>2.3359748406237193E-2</v>
      </c>
      <c r="H45" s="822">
        <f t="shared" si="13"/>
        <v>2.7910696561800129E-2</v>
      </c>
      <c r="I45" s="822">
        <f t="shared" si="13"/>
        <v>2.7910696561800129E-2</v>
      </c>
      <c r="J45" s="822">
        <f t="shared" si="13"/>
        <v>3.8175171645624471E-2</v>
      </c>
      <c r="K45" s="822">
        <f t="shared" si="13"/>
        <v>3.8175171645624582E-2</v>
      </c>
      <c r="L45" s="822">
        <f t="shared" si="13"/>
        <v>5.0065386963951242E-2</v>
      </c>
      <c r="M45" s="822">
        <f t="shared" si="13"/>
        <v>5.0065386963951242E-2</v>
      </c>
      <c r="N45" s="822">
        <f t="shared" si="13"/>
        <v>6.3308584378467064E-2</v>
      </c>
      <c r="O45" s="822">
        <f t="shared" si="13"/>
        <v>6.3308584378467175E-2</v>
      </c>
      <c r="P45" s="822">
        <v>6.5000000000000002E-2</v>
      </c>
      <c r="Q45" s="822">
        <v>6.5000000000000002E-2</v>
      </c>
      <c r="R45" s="822">
        <f t="shared" si="13"/>
        <v>7.523612479161064E-2</v>
      </c>
      <c r="S45" s="822">
        <f t="shared" si="13"/>
        <v>7.5236124791610764E-2</v>
      </c>
      <c r="T45" s="822">
        <v>7.4999999999999997E-2</v>
      </c>
      <c r="U45" s="822">
        <v>7.4999999999999997E-2</v>
      </c>
      <c r="V45" s="822">
        <v>0.05</v>
      </c>
      <c r="W45" s="822">
        <v>0.05</v>
      </c>
      <c r="X45" s="822">
        <v>5.16E-2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10" sqref="C10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9426.17</v>
      </c>
      <c r="E26" s="327">
        <f ca="1">'IS-ENA'!E24</f>
        <v>9264.5</v>
      </c>
      <c r="F26" s="327">
        <f ca="1">'IS-ENA'!F24</f>
        <v>9080.43</v>
      </c>
      <c r="G26" s="327">
        <f ca="1">'IS-ENA'!G24</f>
        <v>8853.23</v>
      </c>
      <c r="H26" s="327">
        <f ca="1">'IS-ENA'!H24</f>
        <v>8589.4699999999993</v>
      </c>
      <c r="I26" s="327">
        <f ca="1">'IS-ENA'!I24</f>
        <v>8311.17</v>
      </c>
      <c r="J26" s="327">
        <f ca="1">'IS-ENA'!J24</f>
        <v>7950.41</v>
      </c>
      <c r="K26" s="327">
        <f ca="1">'IS-ENA'!K24</f>
        <v>7572.8</v>
      </c>
      <c r="L26" s="327">
        <f ca="1">'IS-ENA'!L24</f>
        <v>7099.69</v>
      </c>
      <c r="M26" s="327">
        <f ca="1">'IS-ENA'!M24</f>
        <v>6607.8</v>
      </c>
      <c r="N26" s="327">
        <f ca="1">'IS-ENA'!N24</f>
        <v>6009.53</v>
      </c>
      <c r="O26" s="327">
        <f ca="1">'IS-ENA'!O24</f>
        <v>5408.87</v>
      </c>
      <c r="P26" s="327">
        <f ca="1">'IS-ENA'!P24</f>
        <v>4794.62</v>
      </c>
      <c r="Q26" s="327">
        <f ca="1">'IS-ENA'!Q24</f>
        <v>4165.8599999999997</v>
      </c>
      <c r="R26" s="327">
        <f ca="1">'IS-ENA'!R24</f>
        <v>3454.87</v>
      </c>
      <c r="S26" s="327">
        <f ca="1">'IS-ENA'!S24</f>
        <v>2744.23</v>
      </c>
      <c r="T26" s="327">
        <f ca="1">'IS-ENA'!T24</f>
        <v>2035.48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1985.8129039801206</v>
      </c>
      <c r="E27" s="327">
        <f ca="1">'ENA Debt'!E35</f>
        <v>2219.8952338536419</v>
      </c>
      <c r="F27" s="327">
        <f ca="1">'ENA Debt'!F35</f>
        <v>2759.370280486768</v>
      </c>
      <c r="G27" s="327">
        <f ca="1">'ENA Debt'!G35</f>
        <v>3296.9510313626406</v>
      </c>
      <c r="H27" s="327">
        <f ca="1">'ENA Debt'!H35</f>
        <v>3296.9510313626406</v>
      </c>
      <c r="I27" s="327">
        <f ca="1">'ENA Debt'!I35</f>
        <v>4509.4421506393901</v>
      </c>
      <c r="J27" s="327">
        <f ca="1">'ENA Debt'!J35</f>
        <v>4509.4421506394037</v>
      </c>
      <c r="K27" s="327">
        <f ca="1">'ENA Debt'!K35</f>
        <v>5913.9738351167398</v>
      </c>
      <c r="L27" s="327">
        <f ca="1">'ENA Debt'!L35</f>
        <v>5913.9738351167398</v>
      </c>
      <c r="M27" s="327">
        <f ca="1">'ENA Debt'!M35</f>
        <v>7478.3265297064227</v>
      </c>
      <c r="N27" s="327">
        <f ca="1">'ENA Debt'!N35</f>
        <v>7478.3265297064354</v>
      </c>
      <c r="O27" s="327">
        <f ca="1">'ENA Debt'!O35</f>
        <v>7678.125</v>
      </c>
      <c r="P27" s="327">
        <f ca="1">'ENA Debt'!P35</f>
        <v>7678.125</v>
      </c>
      <c r="Q27" s="327">
        <f ca="1">'ENA Debt'!Q35</f>
        <v>8887.2672410090072</v>
      </c>
      <c r="R27" s="327">
        <f ca="1">'ENA Debt'!R35</f>
        <v>8887.2672410090217</v>
      </c>
      <c r="S27" s="327">
        <f ca="1">'ENA Debt'!S35</f>
        <v>8859.375</v>
      </c>
      <c r="T27" s="327">
        <f ca="1">'ENA Debt'!T35</f>
        <v>8859.375</v>
      </c>
      <c r="U27" s="327">
        <f ca="1">'ENA Debt'!U35</f>
        <v>5906.25</v>
      </c>
      <c r="V27" s="327">
        <f ca="1">'ENA Debt'!V35</f>
        <v>5906.25</v>
      </c>
      <c r="W27" s="326"/>
    </row>
    <row r="28" spans="1:23">
      <c r="A28" s="326" t="s">
        <v>294</v>
      </c>
      <c r="C28" s="327">
        <f ca="1">'IS-ENA'!C25</f>
        <v>94.036448769673299</v>
      </c>
      <c r="D28" s="327">
        <f ca="1">'IS-ENA'!D25</f>
        <v>96.29025556432812</v>
      </c>
      <c r="E28" s="327">
        <f ca="1">'IS-ENA'!E25</f>
        <v>97.850986631185336</v>
      </c>
      <c r="F28" s="327">
        <f ca="1">'IS-ENA'!F25</f>
        <v>100.48614431859328</v>
      </c>
      <c r="G28" s="327">
        <f ca="1">'IS-ENA'!G25</f>
        <v>101.86771680459985</v>
      </c>
      <c r="H28" s="327">
        <f ca="1">'IS-ENA'!H25</f>
        <v>105.38724560194991</v>
      </c>
      <c r="I28" s="327">
        <f ca="1">'IS-ENA'!I25</f>
        <v>106.45483660845719</v>
      </c>
      <c r="J28" s="327">
        <f ca="1">'IS-ENA'!J25</f>
        <v>107.45826516743416</v>
      </c>
      <c r="K28" s="327">
        <f ca="1">'IS-ENA'!K25</f>
        <v>105.83581903124734</v>
      </c>
      <c r="L28" s="327">
        <f ca="1">'IS-ENA'!L25</f>
        <v>105.89896048067494</v>
      </c>
      <c r="M28" s="327">
        <f ca="1">'IS-ENA'!M25</f>
        <v>103.10857761875917</v>
      </c>
      <c r="N28" s="327">
        <f ca="1">'IS-ENA'!N25</f>
        <v>100.09377517122884</v>
      </c>
      <c r="O28" s="327">
        <f ca="1">'IS-ENA'!O25</f>
        <v>96.586351171228841</v>
      </c>
      <c r="P28" s="327">
        <f ca="1">'IS-ENA'!P25</f>
        <v>88.25943117122884</v>
      </c>
      <c r="Q28" s="327">
        <f ca="1">'IS-ENA'!Q25</f>
        <v>78.247899585614419</v>
      </c>
      <c r="R28" s="327">
        <f ca="1">'IS-ENA'!R25</f>
        <v>68.526287999999994</v>
      </c>
      <c r="S28" s="327">
        <f ca="1">'IS-ENA'!S25</f>
        <v>62.450650000000003</v>
      </c>
      <c r="T28" s="327">
        <f ca="1">'IS-ENA'!T25</f>
        <v>54.214586666666669</v>
      </c>
      <c r="U28" s="327">
        <f ca="1">'IS-ENA'!U25</f>
        <v>52.24819999999999</v>
      </c>
      <c r="V28" s="327">
        <f ca="1">'IS-ENA'!V25</f>
        <v>50.129040000000003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76.063948769673303</v>
      </c>
      <c r="D30" s="327">
        <f t="shared" ca="1" si="3"/>
        <v>11417.946250144449</v>
      </c>
      <c r="E30" s="327">
        <f t="shared" ca="1" si="3"/>
        <v>11417.611332631028</v>
      </c>
      <c r="F30" s="327">
        <f t="shared" ca="1" si="3"/>
        <v>11699.337243079508</v>
      </c>
      <c r="G30" s="327">
        <f t="shared" ca="1" si="3"/>
        <v>11932.72478663479</v>
      </c>
      <c r="H30" s="327">
        <f t="shared" ca="1" si="3"/>
        <v>11591.993416570764</v>
      </c>
      <c r="I30" s="327">
        <f t="shared" ca="1" si="3"/>
        <v>12444.587973723386</v>
      </c>
      <c r="J30" s="327">
        <f t="shared" ca="1" si="3"/>
        <v>11999.935317017216</v>
      </c>
      <c r="K30" s="327">
        <f t="shared" ca="1" si="3"/>
        <v>12938.046275791046</v>
      </c>
      <c r="L30" s="327">
        <f t="shared" ca="1" si="3"/>
        <v>12375.457054124838</v>
      </c>
      <c r="M30" s="327">
        <f t="shared" ca="1" si="3"/>
        <v>13353.169358932846</v>
      </c>
      <c r="N30" s="327">
        <f t="shared" ca="1" si="3"/>
        <v>12657.441629378733</v>
      </c>
      <c r="O30" s="327">
        <f t="shared" ca="1" si="3"/>
        <v>13183.581351171228</v>
      </c>
      <c r="P30" s="327">
        <f t="shared" ca="1" si="3"/>
        <v>12461.392737107019</v>
      </c>
      <c r="Q30" s="327">
        <f t="shared" ca="1" si="3"/>
        <v>12929.462236726467</v>
      </c>
      <c r="R30" s="327">
        <f t="shared" ca="1" si="3"/>
        <v>12103.687282672219</v>
      </c>
      <c r="S30" s="327">
        <f t="shared" ca="1" si="3"/>
        <v>11251.179350947894</v>
      </c>
      <c r="T30" s="327">
        <f t="shared" ca="1" si="3"/>
        <v>10423.379933475944</v>
      </c>
      <c r="U30" s="327">
        <f t="shared" ca="1" si="3"/>
        <v>5319.0032321089184</v>
      </c>
      <c r="V30" s="327">
        <f t="shared" ca="1" si="3"/>
        <v>5200.0060139116495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111.36912903510456</v>
      </c>
      <c r="E32" s="327">
        <f ca="1">+'IS-ENA'!E35</f>
        <v>138.83497364761334</v>
      </c>
      <c r="F32" s="327">
        <f ca="1">+'IS-ENA'!F35</f>
        <v>302.33822649295035</v>
      </c>
      <c r="G32" s="327">
        <f ca="1">+'IS-ENA'!G35</f>
        <v>415.00770682552138</v>
      </c>
      <c r="H32" s="327">
        <f ca="1">+'IS-ENA'!H35</f>
        <v>124.01021597455178</v>
      </c>
      <c r="I32" s="327">
        <f ca="1">+'IS-ENA'!I35</f>
        <v>588.69807732362676</v>
      </c>
      <c r="J32" s="327">
        <f ca="1">+'IS-ENA'!J35</f>
        <v>1077.4785132257459</v>
      </c>
      <c r="K32" s="327">
        <f ca="1">+'IS-ENA'!K35</f>
        <v>1129.3599463144546</v>
      </c>
      <c r="L32" s="327">
        <f ca="1">+'IS-ENA'!L35</f>
        <v>1029.8826931619806</v>
      </c>
      <c r="M32" s="327">
        <f ca="1">+'IS-ENA'!M35</f>
        <v>1100.2313516387335</v>
      </c>
      <c r="N32" s="327">
        <f ca="1">+'IS-ENA'!N35</f>
        <v>1030.6070982759734</v>
      </c>
      <c r="O32" s="327">
        <f ca="1">+'IS-ENA'!O35</f>
        <v>997.37950192226083</v>
      </c>
      <c r="P32" s="327">
        <f ca="1">+'IS-ENA'!P35</f>
        <v>850.38896705204797</v>
      </c>
      <c r="Q32" s="327">
        <f ca="1">+'IS-ENA'!Q35</f>
        <v>1213.6741601852193</v>
      </c>
      <c r="R32" s="327">
        <f ca="1">+'IS-ENA'!R35</f>
        <v>1864.9881665188473</v>
      </c>
      <c r="S32" s="327">
        <f ca="1">+'IS-ENA'!S35</f>
        <v>2509.7796182816892</v>
      </c>
      <c r="T32" s="327">
        <f ca="1">+'IS-ENA'!T35</f>
        <v>2588.8501331106413</v>
      </c>
      <c r="U32" s="327">
        <f ca="1">+'IS-ENA'!U35</f>
        <v>2832.6882566473737</v>
      </c>
      <c r="V32" s="327">
        <f ca="1">+'IS-ENA'!V35</f>
        <v>2342.465058522152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576.39785386132246</v>
      </c>
      <c r="E33" s="328">
        <f ca="1">+'TAXES-ENA'!E33</f>
        <v>761.27843883441301</v>
      </c>
      <c r="F33" s="328">
        <f ca="1">+'TAXES-ENA'!F33</f>
        <v>1657.8212752696775</v>
      </c>
      <c r="G33" s="328">
        <f ca="1">+'TAXES-ENA'!G33</f>
        <v>2275.6255924266088</v>
      </c>
      <c r="H33" s="328">
        <f ca="1">+'TAXES-ENA'!H33</f>
        <v>679.98935092712566</v>
      </c>
      <c r="I33" s="328">
        <f ca="1">+'TAXES-ENA'!I33</f>
        <v>3228.0277906578867</v>
      </c>
      <c r="J33" s="328">
        <f ca="1">+'TAXES-ENA'!J33</f>
        <v>5908.1738475211732</v>
      </c>
      <c r="K33" s="328">
        <f ca="1">+'TAXES-ENA'!K33</f>
        <v>6192.6570389575936</v>
      </c>
      <c r="L33" s="328">
        <f ca="1">+'TAXES-ENA'!L33</f>
        <v>5647.1901008381928</v>
      </c>
      <c r="M33" s="328">
        <f ca="1">+'TAXES-ENA'!M33</f>
        <v>6032.9352448190548</v>
      </c>
      <c r="N33" s="328">
        <f ca="1">+'TAXES-ENA'!N33</f>
        <v>5651.1622555465874</v>
      </c>
      <c r="O33" s="328">
        <f ca="1">+'TAXES-ENA'!O33</f>
        <v>5468.9642688737295</v>
      </c>
      <c r="P33" s="328">
        <f ca="1">+'TAXES-ENA'!P33</f>
        <v>4662.9661693353964</v>
      </c>
      <c r="Q33" s="328">
        <f ca="1">+'TAXES-ENA'!Q33</f>
        <v>6654.9799783489534</v>
      </c>
      <c r="R33" s="328">
        <f ca="1">+'TAXES-ENA'!R33</f>
        <v>10226.351779745013</v>
      </c>
      <c r="S33" s="328">
        <f ca="1">+'TAXES-ENA'!S33</f>
        <v>13761.958240244596</v>
      </c>
      <c r="T33" s="328">
        <f ca="1">+'TAXES-ENA'!T33</f>
        <v>14195.528229890017</v>
      </c>
      <c r="U33" s="328">
        <f ca="1">+'TAXES-ENA'!U33</f>
        <v>15532.573940616434</v>
      </c>
      <c r="V33" s="328">
        <f ca="1">+'TAXES-ENA'!V33</f>
        <v>12844.516737563134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687.76698289642707</v>
      </c>
      <c r="E34" s="327">
        <f t="shared" ca="1" si="4"/>
        <v>900.11341248202632</v>
      </c>
      <c r="F34" s="327">
        <f t="shared" ca="1" si="4"/>
        <v>1960.1595017626278</v>
      </c>
      <c r="G34" s="327">
        <f t="shared" ca="1" si="4"/>
        <v>2690.6332992521302</v>
      </c>
      <c r="H34" s="327">
        <f t="shared" ca="1" si="4"/>
        <v>803.99956690167744</v>
      </c>
      <c r="I34" s="327">
        <f t="shared" ca="1" si="4"/>
        <v>3816.7258679815136</v>
      </c>
      <c r="J34" s="327">
        <f t="shared" ca="1" si="4"/>
        <v>6985.6523607469189</v>
      </c>
      <c r="K34" s="327">
        <f t="shared" ca="1" si="4"/>
        <v>7322.0169852720483</v>
      </c>
      <c r="L34" s="327">
        <f t="shared" ca="1" si="4"/>
        <v>6677.0727940001734</v>
      </c>
      <c r="M34" s="327">
        <f t="shared" ca="1" si="4"/>
        <v>7133.1665964577878</v>
      </c>
      <c r="N34" s="327">
        <f t="shared" ca="1" si="4"/>
        <v>6681.7693538225612</v>
      </c>
      <c r="O34" s="327">
        <f t="shared" ca="1" si="4"/>
        <v>6466.3437707959902</v>
      </c>
      <c r="P34" s="327">
        <f t="shared" ca="1" si="4"/>
        <v>5513.3551363874449</v>
      </c>
      <c r="Q34" s="327">
        <f t="shared" ca="1" si="4"/>
        <v>7868.6541385341725</v>
      </c>
      <c r="R34" s="327">
        <f t="shared" ca="1" si="4"/>
        <v>12091.339946263861</v>
      </c>
      <c r="S34" s="327">
        <f t="shared" ca="1" si="4"/>
        <v>16271.737858526285</v>
      </c>
      <c r="T34" s="327">
        <f t="shared" ca="1" si="4"/>
        <v>16784.378363000658</v>
      </c>
      <c r="U34" s="327">
        <f t="shared" ca="1" si="4"/>
        <v>18365.262197263808</v>
      </c>
      <c r="V34" s="327">
        <f t="shared" ca="1" si="4"/>
        <v>15186.981796085285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9730.3252303670524</v>
      </c>
      <c r="D36" s="335">
        <f t="shared" ca="1" si="5"/>
        <v>15832.814028718583</v>
      </c>
      <c r="E36" s="335">
        <f t="shared" ca="1" si="5"/>
        <v>14282.004253245832</v>
      </c>
      <c r="F36" s="335">
        <f t="shared" ca="1" si="5"/>
        <v>14187.726305644052</v>
      </c>
      <c r="G36" s="335">
        <f t="shared" ca="1" si="5"/>
        <v>13700.113618132007</v>
      </c>
      <c r="H36" s="335">
        <f t="shared" ca="1" si="5"/>
        <v>7431.6784873383676</v>
      </c>
      <c r="I36" s="335">
        <f t="shared" ca="1" si="5"/>
        <v>10351.826483484807</v>
      </c>
      <c r="J36" s="335">
        <f t="shared" ca="1" si="5"/>
        <v>15331.754499357268</v>
      </c>
      <c r="K36" s="335">
        <f t="shared" ca="1" si="5"/>
        <v>14511.865819895755</v>
      </c>
      <c r="L36" s="335">
        <f t="shared" ca="1" si="5"/>
        <v>13495.307532056802</v>
      </c>
      <c r="M36" s="335">
        <f t="shared" ca="1" si="5"/>
        <v>12650.045283697778</v>
      </c>
      <c r="N36" s="335">
        <f t="shared" ca="1" si="5"/>
        <v>11934.443627189092</v>
      </c>
      <c r="O36" s="335">
        <f t="shared" ca="1" si="5"/>
        <v>11353.634253198368</v>
      </c>
      <c r="P36" s="335">
        <f t="shared" ca="1" si="5"/>
        <v>9903.1748092807866</v>
      </c>
      <c r="Q36" s="335">
        <f t="shared" ca="1" si="5"/>
        <v>12362.062023318085</v>
      </c>
      <c r="R36" s="335">
        <f t="shared" ca="1" si="5"/>
        <v>14526.981545382785</v>
      </c>
      <c r="S36" s="335">
        <f t="shared" ca="1" si="5"/>
        <v>16629.23035369713</v>
      </c>
      <c r="T36" s="335">
        <f t="shared" ca="1" si="5"/>
        <v>17458.313065875329</v>
      </c>
      <c r="U36" s="335">
        <f t="shared" ca="1" si="5"/>
        <v>22880.005574785835</v>
      </c>
      <c r="V36" s="335">
        <f t="shared" ca="1" si="5"/>
        <v>35300.396798134971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9426.17</v>
      </c>
      <c r="E44" s="685">
        <f ca="1">'ENA Debt'!E34</f>
        <v>9264.5</v>
      </c>
      <c r="F44" s="685">
        <f ca="1">'ENA Debt'!F34</f>
        <v>9080.43</v>
      </c>
      <c r="G44" s="685">
        <f ca="1">'ENA Debt'!G34</f>
        <v>8853.23</v>
      </c>
      <c r="H44" s="685">
        <f ca="1">'ENA Debt'!H34</f>
        <v>8589.4699999999993</v>
      </c>
      <c r="I44" s="685">
        <f ca="1">'ENA Debt'!I34</f>
        <v>8311.17</v>
      </c>
      <c r="J44" s="685">
        <f ca="1">'ENA Debt'!J34</f>
        <v>7950.41</v>
      </c>
      <c r="K44" s="685">
        <f ca="1">'ENA Debt'!K34</f>
        <v>7572.8</v>
      </c>
      <c r="L44" s="685">
        <f ca="1">'ENA Debt'!L34</f>
        <v>7099.69</v>
      </c>
      <c r="M44" s="685">
        <f ca="1">'ENA Debt'!M34</f>
        <v>6607.8</v>
      </c>
      <c r="N44" s="685">
        <f ca="1">'ENA Debt'!N34</f>
        <v>6009.53</v>
      </c>
      <c r="O44" s="685">
        <f ca="1">'ENA Debt'!O34</f>
        <v>5408.87</v>
      </c>
      <c r="P44" s="685">
        <f ca="1">'ENA Debt'!P34</f>
        <v>4794.62</v>
      </c>
      <c r="Q44" s="685">
        <f ca="1">'ENA Debt'!Q34</f>
        <v>4165.8599999999997</v>
      </c>
      <c r="R44" s="685">
        <f ca="1">'ENA Debt'!R34</f>
        <v>3454.87</v>
      </c>
      <c r="S44" s="685">
        <f ca="1">'ENA Debt'!S34</f>
        <v>2744.23</v>
      </c>
      <c r="T44" s="685">
        <f ca="1">'ENA Debt'!T34</f>
        <v>2035.48</v>
      </c>
      <c r="U44" s="685">
        <f ca="1">'ENA Debt'!U34</f>
        <v>1362.17</v>
      </c>
      <c r="V44" s="685">
        <f ca="1">'ENA Debt'!V34</f>
        <v>889.67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1985.8129039801206</v>
      </c>
      <c r="E45" s="687">
        <f ca="1">'ENA Debt'!E35</f>
        <v>2219.8952338536419</v>
      </c>
      <c r="F45" s="687">
        <f ca="1">'ENA Debt'!F35</f>
        <v>2759.370280486768</v>
      </c>
      <c r="G45" s="687">
        <f ca="1">'ENA Debt'!G35</f>
        <v>3296.9510313626406</v>
      </c>
      <c r="H45" s="687">
        <f ca="1">'ENA Debt'!H35</f>
        <v>3296.9510313626406</v>
      </c>
      <c r="I45" s="687">
        <f ca="1">'ENA Debt'!I35</f>
        <v>4509.4421506393901</v>
      </c>
      <c r="J45" s="687">
        <f ca="1">'ENA Debt'!J35</f>
        <v>4509.4421506394037</v>
      </c>
      <c r="K45" s="687">
        <f ca="1">'ENA Debt'!K35</f>
        <v>5913.9738351167398</v>
      </c>
      <c r="L45" s="687">
        <f ca="1">'ENA Debt'!L35</f>
        <v>5913.9738351167398</v>
      </c>
      <c r="M45" s="687">
        <f ca="1">'ENA Debt'!M35</f>
        <v>7478.3265297064227</v>
      </c>
      <c r="N45" s="687">
        <f ca="1">'ENA Debt'!N35</f>
        <v>7478.3265297064354</v>
      </c>
      <c r="O45" s="687">
        <f ca="1">'ENA Debt'!O35</f>
        <v>7678.125</v>
      </c>
      <c r="P45" s="687">
        <f ca="1">'ENA Debt'!P35</f>
        <v>7678.125</v>
      </c>
      <c r="Q45" s="687">
        <f ca="1">'ENA Debt'!Q35</f>
        <v>8887.2672410090072</v>
      </c>
      <c r="R45" s="687">
        <f ca="1">'ENA Debt'!R35</f>
        <v>8887.2672410090217</v>
      </c>
      <c r="S45" s="687">
        <f ca="1">'ENA Debt'!S35</f>
        <v>8859.375</v>
      </c>
      <c r="T45" s="687">
        <f ca="1">'ENA Debt'!T35</f>
        <v>8859.375</v>
      </c>
      <c r="U45" s="687">
        <f ca="1">'ENA Debt'!U35</f>
        <v>5906.25</v>
      </c>
      <c r="V45" s="687">
        <f ca="1">'ENA Debt'!V35</f>
        <v>5906.25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11411.982903980121</v>
      </c>
      <c r="E46" s="685">
        <f t="shared" ca="1" si="8"/>
        <v>11484.395233853642</v>
      </c>
      <c r="F46" s="685">
        <f t="shared" ca="1" si="8"/>
        <v>11839.800280486768</v>
      </c>
      <c r="G46" s="685">
        <f t="shared" ca="1" si="8"/>
        <v>12150.181031362641</v>
      </c>
      <c r="H46" s="685">
        <f t="shared" ca="1" si="8"/>
        <v>11886.421031362639</v>
      </c>
      <c r="I46" s="685">
        <f t="shared" ca="1" si="8"/>
        <v>12820.61215063939</v>
      </c>
      <c r="J46" s="685">
        <f t="shared" ca="1" si="8"/>
        <v>12459.852150639403</v>
      </c>
      <c r="K46" s="685">
        <f t="shared" ca="1" si="8"/>
        <v>13486.773835116739</v>
      </c>
      <c r="L46" s="685">
        <f t="shared" ca="1" si="8"/>
        <v>13013.663835116738</v>
      </c>
      <c r="M46" s="685">
        <f t="shared" ca="1" si="8"/>
        <v>14086.126529706424</v>
      </c>
      <c r="N46" s="685">
        <f t="shared" ca="1" si="8"/>
        <v>13487.856529706434</v>
      </c>
      <c r="O46" s="685">
        <f t="shared" ca="1" si="8"/>
        <v>13086.994999999999</v>
      </c>
      <c r="P46" s="685">
        <f t="shared" ca="1" si="8"/>
        <v>12472.744999999999</v>
      </c>
      <c r="Q46" s="685">
        <f t="shared" ca="1" si="8"/>
        <v>13053.127241009006</v>
      </c>
      <c r="R46" s="685">
        <f t="shared" ca="1" si="8"/>
        <v>12342.137241009023</v>
      </c>
      <c r="S46" s="685">
        <f t="shared" ca="1" si="8"/>
        <v>11603.605</v>
      </c>
      <c r="T46" s="685">
        <f ca="1">T45+T44</f>
        <v>10894.855</v>
      </c>
      <c r="U46" s="685">
        <f ca="1">U45+U44</f>
        <v>7268.42</v>
      </c>
      <c r="V46" s="685">
        <f ca="1">V45+V44</f>
        <v>6795.92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11411.982903980121</v>
      </c>
      <c r="E49" s="690">
        <f t="shared" ca="1" si="9"/>
        <v>11484.395233853642</v>
      </c>
      <c r="F49" s="690">
        <f t="shared" ca="1" si="9"/>
        <v>11839.800280486768</v>
      </c>
      <c r="G49" s="690">
        <f t="shared" ca="1" si="9"/>
        <v>12150.181031362641</v>
      </c>
      <c r="H49" s="690">
        <f t="shared" ca="1" si="9"/>
        <v>11886.421031362639</v>
      </c>
      <c r="I49" s="690">
        <f t="shared" ca="1" si="9"/>
        <v>12820.61215063939</v>
      </c>
      <c r="J49" s="690">
        <f t="shared" ca="1" si="9"/>
        <v>12459.852150639403</v>
      </c>
      <c r="K49" s="690">
        <f t="shared" ca="1" si="9"/>
        <v>13486.773835116739</v>
      </c>
      <c r="L49" s="690">
        <f t="shared" ca="1" si="9"/>
        <v>13013.663835116738</v>
      </c>
      <c r="M49" s="690">
        <f t="shared" ca="1" si="9"/>
        <v>14086.126529706424</v>
      </c>
      <c r="N49" s="690">
        <f t="shared" ca="1" si="9"/>
        <v>13487.856529706434</v>
      </c>
      <c r="O49" s="690">
        <f t="shared" ca="1" si="9"/>
        <v>13086.994999999999</v>
      </c>
      <c r="P49" s="690">
        <f t="shared" ca="1" si="9"/>
        <v>12472.744999999999</v>
      </c>
      <c r="Q49" s="690">
        <f t="shared" ca="1" si="9"/>
        <v>13053.127241009006</v>
      </c>
      <c r="R49" s="690">
        <f t="shared" ca="1" si="9"/>
        <v>12342.137241009023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2.4481746508764424</v>
      </c>
      <c r="E52" s="693">
        <f t="shared" ca="1" si="10"/>
        <v>2.316162798015549</v>
      </c>
      <c r="F52" s="693">
        <f t="shared" ca="1" si="10"/>
        <v>2.3520010803206985</v>
      </c>
      <c r="G52" s="693">
        <f t="shared" ca="1" si="10"/>
        <v>2.3311152015685197</v>
      </c>
      <c r="H52" s="693">
        <f t="shared" ca="1" si="10"/>
        <v>1.6680943253225651</v>
      </c>
      <c r="I52" s="693">
        <f t="shared" ca="1" si="10"/>
        <v>2.0758088625169475</v>
      </c>
      <c r="J52" s="693">
        <f t="shared" ca="1" si="10"/>
        <v>2.7542334982971961</v>
      </c>
      <c r="K52" s="693">
        <f t="shared" ca="1" si="10"/>
        <v>2.5782243779027434</v>
      </c>
      <c r="L52" s="693">
        <f t="shared" ca="1" si="10"/>
        <v>2.5010510331727689</v>
      </c>
      <c r="M52" s="693">
        <f t="shared" ca="1" si="10"/>
        <v>2.3524125790867099</v>
      </c>
      <c r="N52" s="693">
        <f t="shared" ca="1" si="10"/>
        <v>2.318652674093284</v>
      </c>
      <c r="O52" s="693">
        <f t="shared" ca="1" si="10"/>
        <v>2.3690357775154336</v>
      </c>
      <c r="P52" s="693">
        <f t="shared" ca="1" si="10"/>
        <v>2.2351072424534659</v>
      </c>
      <c r="Q52" s="693">
        <f t="shared" ca="1" si="10"/>
        <v>2.5404010691322614</v>
      </c>
      <c r="R52" s="693">
        <f t="shared" ca="1" si="10"/>
        <v>3.1373827740026958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2.3985238629518184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1.6680943253225651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0.97793541217799862</v>
      </c>
      <c r="E55" s="697">
        <f ca="1">1-SUM($C$45:E45)/('ASSUM 1'!$S$29*1000)</f>
        <v>0.95326990957962487</v>
      </c>
      <c r="F55" s="697">
        <f ca="1">1-SUM($C$45:F45)/('ASSUM 1'!$S$29*1000)</f>
        <v>0.92261023979643852</v>
      </c>
      <c r="G55" s="697">
        <f ca="1">1-SUM($C$45:G45)/('ASSUM 1'!$S$29*1000)</f>
        <v>0.88597745055907584</v>
      </c>
      <c r="H55" s="697">
        <f ca="1">1-SUM($C$45:H45)/('ASSUM 1'!$S$29*1000)</f>
        <v>0.84934466132171327</v>
      </c>
      <c r="I55" s="697">
        <f ca="1">1-SUM($C$45:I45)/('ASSUM 1'!$S$29*1000)</f>
        <v>0.79923974853683111</v>
      </c>
      <c r="J55" s="697">
        <f ca="1">1-SUM($C$45:J45)/('ASSUM 1'!$S$29*1000)</f>
        <v>0.74913483575194884</v>
      </c>
      <c r="K55" s="697">
        <f ca="1">1-SUM($C$45:K45)/('ASSUM 1'!$S$29*1000)</f>
        <v>0.68342401536176278</v>
      </c>
      <c r="L55" s="697">
        <f ca="1">1-SUM($C$45:L45)/('ASSUM 1'!$S$29*1000)</f>
        <v>0.61771319497157684</v>
      </c>
      <c r="M55" s="697">
        <f ca="1">1-SUM($C$45:M45)/('ASSUM 1'!$S$29*1000)</f>
        <v>0.53462067797483892</v>
      </c>
      <c r="N55" s="697">
        <f ca="1">1-SUM($C$45:N45)/('ASSUM 1'!$S$29*1000)</f>
        <v>0.45152816097810067</v>
      </c>
      <c r="O55" s="697">
        <f ca="1">1-SUM($C$45:O45)/('ASSUM 1'!$S$29*1000)</f>
        <v>0.36621566097810077</v>
      </c>
      <c r="P55" s="697">
        <f ca="1">1-SUM($C$45:P45)/('ASSUM 1'!$S$29*1000)</f>
        <v>0.28090316097810075</v>
      </c>
      <c r="Q55" s="697">
        <f ca="1">1-SUM($C$45:Q45)/('ASSUM 1'!$S$29*1000)</f>
        <v>0.18215574718911176</v>
      </c>
      <c r="R55" s="697">
        <f ca="1">1-SUM($C$45:R45)/('ASSUM 1'!$S$29*1000)</f>
        <v>8.3408333400122769E-2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2.4481746508764424</v>
      </c>
      <c r="E57" s="693">
        <f t="shared" ca="1" si="11"/>
        <v>2.316162798015549</v>
      </c>
      <c r="F57" s="693">
        <f t="shared" ca="1" si="11"/>
        <v>2.3520010803206985</v>
      </c>
      <c r="G57" s="693">
        <f t="shared" ca="1" si="11"/>
        <v>2.3311152015685197</v>
      </c>
      <c r="H57" s="693">
        <f t="shared" ca="1" si="11"/>
        <v>1.6680943253225651</v>
      </c>
      <c r="I57" s="693">
        <f t="shared" ca="1" si="11"/>
        <v>2.0758088625169475</v>
      </c>
      <c r="J57" s="693">
        <f t="shared" ca="1" si="11"/>
        <v>2.7542334982971961</v>
      </c>
      <c r="K57" s="693">
        <f t="shared" ca="1" si="11"/>
        <v>2.5782243779027434</v>
      </c>
      <c r="L57" s="693">
        <f t="shared" ca="1" si="11"/>
        <v>2.5010510331727689</v>
      </c>
      <c r="M57" s="693">
        <f t="shared" ca="1" si="11"/>
        <v>2.3524125790867099</v>
      </c>
      <c r="N57" s="693">
        <f t="shared" ca="1" si="11"/>
        <v>2.318652674093284</v>
      </c>
      <c r="O57" s="693">
        <f t="shared" ca="1" si="11"/>
        <v>2.3690357775154336</v>
      </c>
      <c r="P57" s="693">
        <f t="shared" ca="1" si="11"/>
        <v>2.2351072424534659</v>
      </c>
      <c r="Q57" s="693">
        <f t="shared" ca="1" si="11"/>
        <v>2.5404010691322614</v>
      </c>
      <c r="R57" s="693">
        <f ca="1">IF(R49&gt;1,(R13-R21)/R49,0)</f>
        <v>3.1373827740026958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2978.7193559701809</v>
      </c>
      <c r="E61" s="761">
        <f t="shared" ca="1" si="12"/>
        <v>5549.7380846341048</v>
      </c>
      <c r="F61" s="761">
        <f t="shared" ca="1" si="12"/>
        <v>9657.7959817036881</v>
      </c>
      <c r="G61" s="761">
        <f t="shared" ca="1" si="12"/>
        <v>14836.279641131883</v>
      </c>
      <c r="H61" s="761">
        <f t="shared" ca="1" si="12"/>
        <v>18133.230672494523</v>
      </c>
      <c r="I61" s="761">
        <f t="shared" ca="1" si="12"/>
        <v>29311.373979156037</v>
      </c>
      <c r="J61" s="761">
        <f t="shared" ca="1" si="12"/>
        <v>33820.81612979553</v>
      </c>
      <c r="K61" s="761">
        <f t="shared" ca="1" si="12"/>
        <v>50268.777598492292</v>
      </c>
      <c r="L61" s="761">
        <f t="shared" ca="1" si="12"/>
        <v>56182.751433609024</v>
      </c>
      <c r="M61" s="761">
        <f t="shared" ca="1" si="12"/>
        <v>78522.428561917433</v>
      </c>
      <c r="N61" s="761">
        <f t="shared" ca="1" si="12"/>
        <v>86000.755091624014</v>
      </c>
      <c r="O61" s="761">
        <f t="shared" ca="1" si="12"/>
        <v>95976.5625</v>
      </c>
      <c r="P61" s="761">
        <f t="shared" ca="1" si="12"/>
        <v>103654.6875</v>
      </c>
      <c r="Q61" s="761">
        <f t="shared" ca="1" si="12"/>
        <v>128865.37499463061</v>
      </c>
      <c r="R61" s="761">
        <f t="shared" ca="1" si="12"/>
        <v>137752.64223563983</v>
      </c>
      <c r="S61" s="761">
        <f ca="1">S60*S45</f>
        <v>146179.6875</v>
      </c>
      <c r="T61" s="761">
        <f ca="1">T60*T45</f>
        <v>155039.0625</v>
      </c>
      <c r="U61" s="761">
        <f ca="1">U60*U45</f>
        <v>109265.625</v>
      </c>
      <c r="V61" s="761">
        <f ca="1">V60*V45</f>
        <v>115171.875</v>
      </c>
    </row>
    <row r="62" spans="1:23">
      <c r="C62" s="330">
        <f ca="1">SUM(C61:V61)/'ENA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6"/>
  <sheetViews>
    <sheetView showOutlineSymbols="0" view="pageBreakPreview" zoomScale="60" zoomScaleNormal="75" workbookViewId="0">
      <selection activeCell="D13" sqref="D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 w ePUP'!A1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 w ePUP'!A5</f>
        <v>US $ 000s</v>
      </c>
      <c r="B5" s="322"/>
      <c r="C5" s="323">
        <f ca="1">'CSHFLO w ePUP'!C5</f>
        <v>2000</v>
      </c>
      <c r="D5" s="323">
        <f ca="1">'CSHFLO w ePUP'!D5</f>
        <v>2001</v>
      </c>
      <c r="E5" s="323">
        <f ca="1">'CSHFLO w ePUP'!E5</f>
        <v>2002</v>
      </c>
      <c r="F5" s="323">
        <f ca="1">'CSHFLO w ePUP'!F5</f>
        <v>2003</v>
      </c>
      <c r="G5" s="323">
        <f ca="1">'CSHFLO w ePUP'!G5</f>
        <v>2004</v>
      </c>
      <c r="H5" s="323">
        <f ca="1">'CSHFLO w ePUP'!H5</f>
        <v>2005</v>
      </c>
      <c r="I5" s="323">
        <f ca="1">'CSHFLO w ePUP'!I5</f>
        <v>2006</v>
      </c>
      <c r="J5" s="323">
        <f ca="1">'CSHFLO w ePUP'!J5</f>
        <v>2007</v>
      </c>
      <c r="K5" s="323">
        <f ca="1">'CSHFLO w ePUP'!K5</f>
        <v>2008</v>
      </c>
      <c r="L5" s="323">
        <f ca="1">'CSHFLO w ePUP'!L5</f>
        <v>2009</v>
      </c>
      <c r="M5" s="323">
        <f ca="1">'CSHFLO w ePUP'!M5</f>
        <v>2010</v>
      </c>
      <c r="N5" s="323">
        <f ca="1">'CSHFLO w ePUP'!N5</f>
        <v>2011</v>
      </c>
      <c r="O5" s="323">
        <f ca="1">'CSHFLO w ePUP'!O5</f>
        <v>2012</v>
      </c>
      <c r="P5" s="323">
        <f ca="1">'CSHFLO w ePUP'!P5</f>
        <v>2013</v>
      </c>
      <c r="Q5" s="323">
        <f ca="1">'CSHFLO w ePUP'!Q5</f>
        <v>2014</v>
      </c>
      <c r="R5" s="323">
        <f ca="1">'CSHFLO w ePUP'!R5</f>
        <v>2015</v>
      </c>
      <c r="S5" s="323">
        <f ca="1">'CSHFLO w ePUP'!S5</f>
        <v>2016</v>
      </c>
      <c r="T5" s="323">
        <f ca="1">'CSHFLO w ePUP'!T5</f>
        <v>2017</v>
      </c>
      <c r="U5" s="323">
        <f ca="1">'CSHFLO w ePUP'!U5</f>
        <v>2018</v>
      </c>
      <c r="V5" s="323">
        <f ca="1">'CSHFLO w ePUP'!V5</f>
        <v>2019</v>
      </c>
    </row>
    <row r="6" spans="1:23">
      <c r="A6" s="317" t="str">
        <f ca="1">'CSHFLO w ePUP'!A6</f>
        <v>Year</v>
      </c>
      <c r="C6" s="322">
        <f ca="1">'CSHFLO w ePUP'!C6</f>
        <v>1</v>
      </c>
      <c r="D6" s="322">
        <f ca="1">'CSHFLO w ePUP'!D6</f>
        <v>2</v>
      </c>
      <c r="E6" s="322">
        <f ca="1">'CSHFLO w ePUP'!E6</f>
        <v>3</v>
      </c>
      <c r="F6" s="322">
        <f ca="1">'CSHFLO w ePUP'!F6</f>
        <v>4</v>
      </c>
      <c r="G6" s="322">
        <f ca="1">'CSHFLO w ePUP'!G6</f>
        <v>5</v>
      </c>
      <c r="H6" s="322">
        <f ca="1">'CSHFLO w ePUP'!H6</f>
        <v>6</v>
      </c>
      <c r="I6" s="322">
        <f ca="1">'CSHFLO w ePUP'!I6</f>
        <v>7</v>
      </c>
      <c r="J6" s="322">
        <f ca="1">'CSHFLO w ePUP'!J6</f>
        <v>8</v>
      </c>
      <c r="K6" s="322">
        <f ca="1">'CSHFLO w ePUP'!K6</f>
        <v>9</v>
      </c>
      <c r="L6" s="322">
        <f ca="1">'CSHFLO w ePUP'!L6</f>
        <v>10</v>
      </c>
      <c r="M6" s="322">
        <f ca="1">'CSHFLO w ePUP'!M6</f>
        <v>11</v>
      </c>
      <c r="N6" s="322">
        <f ca="1">'CSHFLO w ePUP'!N6</f>
        <v>12</v>
      </c>
      <c r="O6" s="322">
        <f ca="1">'CSHFLO w ePUP'!O6</f>
        <v>13</v>
      </c>
      <c r="P6" s="322">
        <f ca="1">'CSHFLO w ePUP'!P6</f>
        <v>14</v>
      </c>
      <c r="Q6" s="322">
        <f ca="1">'CSHFLO w ePUP'!Q6</f>
        <v>15</v>
      </c>
      <c r="R6" s="322">
        <f ca="1">'CSHFLO w ePUP'!R6</f>
        <v>16</v>
      </c>
      <c r="S6" s="322">
        <f ca="1">'CSHFLO w ePUP'!S6</f>
        <v>17</v>
      </c>
      <c r="T6" s="322">
        <f ca="1">'CSHFLO w ePUP'!T6</f>
        <v>18</v>
      </c>
      <c r="U6" s="322">
        <f ca="1">'CSHFLO w ePUP'!U6</f>
        <v>19</v>
      </c>
      <c r="V6" s="322">
        <f ca="1">'CSHFLO w ePUP'!V6</f>
        <v>20</v>
      </c>
    </row>
    <row r="7" spans="1:23">
      <c r="A7" s="317" t="str">
        <f ca="1">'CSHFLO w ePUP'!A7</f>
        <v>Months of Operation</v>
      </c>
      <c r="C7" s="322">
        <f ca="1">'CSHFLO w ePUP'!C7</f>
        <v>7</v>
      </c>
      <c r="D7" s="322">
        <f ca="1">'CSHFLO w ePUP'!D7</f>
        <v>12</v>
      </c>
      <c r="E7" s="322">
        <f ca="1">'CSHFLO w ePUP'!E7</f>
        <v>12</v>
      </c>
      <c r="F7" s="322">
        <f ca="1">'CSHFLO w ePUP'!F7</f>
        <v>12</v>
      </c>
      <c r="G7" s="322">
        <f ca="1">'CSHFLO w ePUP'!G7</f>
        <v>12</v>
      </c>
      <c r="H7" s="322">
        <f ca="1">'CSHFLO w ePUP'!H7</f>
        <v>12</v>
      </c>
      <c r="I7" s="322">
        <f ca="1">'CSHFLO w ePUP'!I7</f>
        <v>12</v>
      </c>
      <c r="J7" s="322">
        <f ca="1">'CSHFLO w ePUP'!J7</f>
        <v>12</v>
      </c>
      <c r="K7" s="322">
        <f ca="1">'CSHFLO w ePUP'!K7</f>
        <v>12</v>
      </c>
      <c r="L7" s="322">
        <f ca="1">'CSHFLO w ePUP'!L7</f>
        <v>12</v>
      </c>
      <c r="M7" s="322">
        <f ca="1">'CSHFLO w ePUP'!M7</f>
        <v>12</v>
      </c>
      <c r="N7" s="322">
        <f ca="1">'CSHFLO w ePUP'!N7</f>
        <v>12</v>
      </c>
      <c r="O7" s="322">
        <f ca="1">'CSHFLO w ePUP'!O7</f>
        <v>12</v>
      </c>
      <c r="P7" s="322">
        <f ca="1">'CSHFLO w ePUP'!P7</f>
        <v>12</v>
      </c>
      <c r="Q7" s="322">
        <f ca="1">'CSHFLO w ePUP'!Q7</f>
        <v>12</v>
      </c>
      <c r="R7" s="322">
        <f ca="1">'CSHFLO w ePUP'!R7</f>
        <v>12</v>
      </c>
      <c r="S7" s="322">
        <f ca="1">'CSHFLO w ePUP'!S7</f>
        <v>12</v>
      </c>
      <c r="T7" s="322">
        <f ca="1">'CSHFLO w ePUP'!T7</f>
        <v>12</v>
      </c>
      <c r="U7" s="322">
        <f ca="1">'CSHFLO w ePUP'!U7</f>
        <v>12</v>
      </c>
      <c r="V7" s="322">
        <f ca="1">'CSHFLO w ePUP'!V7</f>
        <v>12</v>
      </c>
    </row>
    <row r="9" spans="1:23" ht="16.5" thickTop="1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 s="673" customFormat="1">
      <c r="A10" s="673" t="s">
        <v>455</v>
      </c>
      <c r="C10" s="819">
        <f ca="1">C29+C30</f>
        <v>0</v>
      </c>
      <c r="D10" s="819">
        <f t="shared" ref="D10:V10" ca="1" si="0">D29+D30</f>
        <v>11411.982903980121</v>
      </c>
      <c r="E10" s="819">
        <f t="shared" ca="1" si="0"/>
        <v>11484.395233853642</v>
      </c>
      <c r="F10" s="819">
        <f t="shared" ca="1" si="0"/>
        <v>11839.800280486768</v>
      </c>
      <c r="G10" s="819">
        <f t="shared" ca="1" si="0"/>
        <v>12150.181031362641</v>
      </c>
      <c r="H10" s="819">
        <f t="shared" ca="1" si="0"/>
        <v>11886.421031362639</v>
      </c>
      <c r="I10" s="819">
        <f t="shared" ca="1" si="0"/>
        <v>12820.61215063939</v>
      </c>
      <c r="J10" s="819">
        <f t="shared" ca="1" si="0"/>
        <v>12459.852150639403</v>
      </c>
      <c r="K10" s="819">
        <f t="shared" ca="1" si="0"/>
        <v>13486.773835116739</v>
      </c>
      <c r="L10" s="819">
        <f t="shared" ca="1" si="0"/>
        <v>13013.663835116738</v>
      </c>
      <c r="M10" s="819">
        <f t="shared" ca="1" si="0"/>
        <v>14086.126529706424</v>
      </c>
      <c r="N10" s="819">
        <f t="shared" ca="1" si="0"/>
        <v>13487.856529706434</v>
      </c>
      <c r="O10" s="819">
        <f t="shared" ca="1" si="0"/>
        <v>13086.994999999999</v>
      </c>
      <c r="P10" s="819">
        <f t="shared" ca="1" si="0"/>
        <v>12472.744999999999</v>
      </c>
      <c r="Q10" s="819">
        <f t="shared" ca="1" si="0"/>
        <v>13053.127241009006</v>
      </c>
      <c r="R10" s="819">
        <f t="shared" ca="1" si="0"/>
        <v>12342.137241009023</v>
      </c>
      <c r="S10" s="819">
        <f t="shared" ca="1" si="0"/>
        <v>11603.605</v>
      </c>
      <c r="T10" s="819">
        <f t="shared" ca="1" si="0"/>
        <v>10894.855</v>
      </c>
      <c r="U10" s="819">
        <f t="shared" ca="1" si="0"/>
        <v>5906.25</v>
      </c>
      <c r="V10" s="819">
        <f t="shared" ca="1" si="0"/>
        <v>5906.25</v>
      </c>
    </row>
    <row r="11" spans="1:23">
      <c r="A11" s="326" t="s">
        <v>456</v>
      </c>
      <c r="B11" s="673"/>
      <c r="C11" s="819">
        <f ca="1">C14-C18-OandM!C13</f>
        <v>6554.1968288322732</v>
      </c>
      <c r="D11" s="819">
        <f ca="1">D14-D18-OandM!D13</f>
        <v>17078.375549732791</v>
      </c>
      <c r="E11" s="819">
        <f ca="1">E14-E18-OandM!E13</f>
        <v>16130.958821662725</v>
      </c>
      <c r="F11" s="819">
        <f ca="1">F14-F18-OandM!F13</f>
        <v>16572.475338536002</v>
      </c>
      <c r="G11" s="819">
        <f ca="1">G14-G18-OandM!G13</f>
        <v>16880.043132768158</v>
      </c>
      <c r="H11" s="819">
        <f ca="1">H14-H18-OandM!H13</f>
        <v>13127.642217994269</v>
      </c>
      <c r="I11" s="819">
        <f ca="1">I14-I18-OandM!I13</f>
        <v>16401.710618944526</v>
      </c>
      <c r="J11" s="819">
        <f ca="1">J14-J18-OandM!J13</f>
        <v>19905.425451599385</v>
      </c>
      <c r="K11" s="819">
        <f ca="1">K14-K18-OandM!K13</f>
        <v>20087.972933624507</v>
      </c>
      <c r="L11" s="819">
        <f ca="1">L14-L18-OandM!L13</f>
        <v>19324.29442074291</v>
      </c>
      <c r="M11" s="819">
        <f ca="1">M14-M18-OandM!M13</f>
        <v>19724.68807837542</v>
      </c>
      <c r="N11" s="819">
        <f ca="1">N14-N18-OandM!N13</f>
        <v>19058.535313421067</v>
      </c>
      <c r="O11" s="819">
        <f ca="1">O14-O18-OandM!O13</f>
        <v>19172.901553513526</v>
      </c>
      <c r="P11" s="819">
        <f ca="1">P14-P18-OandM!P13</f>
        <v>17793.529624418101</v>
      </c>
      <c r="Q11" s="819">
        <f ca="1">Q14-Q18-OandM!Q13</f>
        <v>20243.626738451392</v>
      </c>
      <c r="R11" s="819">
        <f ca="1">R14-R18-OandM!R13</f>
        <v>22657.829864552827</v>
      </c>
      <c r="S11" s="819">
        <f ca="1">S14-S18-OandM!S13</f>
        <v>25093.126878128762</v>
      </c>
      <c r="T11" s="819">
        <f ca="1">T14-T18-OandM!T13</f>
        <v>25492.977926525833</v>
      </c>
      <c r="U11" s="819">
        <f ca="1">U14-U18-OandM!U13</f>
        <v>26570.836405817452</v>
      </c>
      <c r="V11" s="819">
        <f ca="1">V14-V18-OandM!V13</f>
        <v>23150.427616580742</v>
      </c>
      <c r="W11" s="326"/>
    </row>
    <row r="12" spans="1:23">
      <c r="A12" s="326" t="str">
        <f ca="1">'CSHFLO w ePUP'!A12</f>
        <v xml:space="preserve">    Capacity Charges</v>
      </c>
      <c r="C12" s="327">
        <f>'Co IS'!C10</f>
        <v>2670.6019857725</v>
      </c>
      <c r="D12" s="327">
        <f>'Co IS'!D10</f>
        <v>8535.1460549557978</v>
      </c>
      <c r="E12" s="327">
        <f>'Co IS'!E10</f>
        <v>8634.5230131309399</v>
      </c>
      <c r="F12" s="327">
        <f>'Co IS'!F10</f>
        <v>8843.4511175181378</v>
      </c>
      <c r="G12" s="327">
        <f>'Co IS'!G10</f>
        <v>9040.6333562818381</v>
      </c>
      <c r="H12" s="327">
        <f>'Co IS'!H10</f>
        <v>6618.2577418592673</v>
      </c>
      <c r="I12" s="327">
        <f>'Co IS'!I10</f>
        <v>8589.7344052949211</v>
      </c>
      <c r="J12" s="327">
        <f>'Co IS'!J10</f>
        <v>10759.145310641588</v>
      </c>
      <c r="K12" s="327">
        <f>'Co IS'!K10</f>
        <v>11016.859465760257</v>
      </c>
      <c r="L12" s="327">
        <f>'Co IS'!L10</f>
        <v>10402.806145686296</v>
      </c>
      <c r="M12" s="327">
        <f>'Co IS'!M10</f>
        <v>10613.950496424512</v>
      </c>
      <c r="N12" s="327">
        <f>'Co IS'!N10</f>
        <v>10065.807689282616</v>
      </c>
      <c r="O12" s="327">
        <f>'Co IS'!O10</f>
        <v>9828.1842643041964</v>
      </c>
      <c r="P12" s="327">
        <f>'Co IS'!P10</f>
        <v>9002.0239312495087</v>
      </c>
      <c r="Q12" s="327">
        <f>'Co IS'!Q10</f>
        <v>10633.654779665956</v>
      </c>
      <c r="R12" s="327">
        <f>'Co IS'!R10</f>
        <v>12213.685674306913</v>
      </c>
      <c r="S12" s="327">
        <f>'Co IS'!S10</f>
        <v>13797.396491410733</v>
      </c>
      <c r="T12" s="327">
        <f>'Co IS'!T10</f>
        <v>13904.796814559999</v>
      </c>
      <c r="U12" s="327">
        <f>'Co IS'!U10</f>
        <v>14388.47460655525</v>
      </c>
      <c r="V12" s="327">
        <f>'Co IS'!V10</f>
        <v>12153.671265220351</v>
      </c>
      <c r="W12" s="326"/>
    </row>
    <row r="13" spans="1:23">
      <c r="A13" s="326" t="str">
        <f ca="1">'CSHFLO w ePUP'!A13</f>
        <v xml:space="preserve">    Option Revenue</v>
      </c>
      <c r="C13" s="327">
        <f>'Co IS'!C11</f>
        <v>3028.465486322194</v>
      </c>
      <c r="D13" s="327">
        <f>'Co IS'!D11</f>
        <v>7912.7499637431865</v>
      </c>
      <c r="E13" s="327">
        <f>'Co IS'!E11</f>
        <v>7655.4394924636754</v>
      </c>
      <c r="F13" s="327">
        <f>'Co IS'!F11</f>
        <v>8061.4198831599469</v>
      </c>
      <c r="G13" s="327">
        <f>'Co IS'!G11</f>
        <v>8083.526717476715</v>
      </c>
      <c r="H13" s="327">
        <f>'Co IS'!H11</f>
        <v>5828.1366763630331</v>
      </c>
      <c r="I13" s="327">
        <f>'Co IS'!I11</f>
        <v>7637.9174252096363</v>
      </c>
      <c r="J13" s="327">
        <f>'Co IS'!J11</f>
        <v>9845.3570906857767</v>
      </c>
      <c r="K13" s="327">
        <f>'Co IS'!K11</f>
        <v>9955.0231008411083</v>
      </c>
      <c r="L13" s="327">
        <f>'Co IS'!L11</f>
        <v>9220.6198012628774</v>
      </c>
      <c r="M13" s="327">
        <f>'Co IS'!M11</f>
        <v>9354.9875191446135</v>
      </c>
      <c r="N13" s="327">
        <f>'Co IS'!N11</f>
        <v>8831.3797809957505</v>
      </c>
      <c r="O13" s="327">
        <f>'Co IS'!O11</f>
        <v>8892.4466391200676</v>
      </c>
      <c r="P13" s="327">
        <f>'Co IS'!P11</f>
        <v>8043.9230909434364</v>
      </c>
      <c r="Q13" s="327">
        <f>'Co IS'!Q11</f>
        <v>9481.7601106008115</v>
      </c>
      <c r="R13" s="327">
        <f>'Co IS'!R11</f>
        <v>11224.822459980584</v>
      </c>
      <c r="S13" s="327">
        <f>'Co IS'!S11</f>
        <v>12855.472668114626</v>
      </c>
      <c r="T13" s="327">
        <f>'Co IS'!T11</f>
        <v>13011.623076007696</v>
      </c>
      <c r="U13" s="327">
        <f>'Co IS'!U11</f>
        <v>13549.976479515202</v>
      </c>
      <c r="V13" s="327">
        <f>'Co IS'!V11</f>
        <v>11043.297311110464</v>
      </c>
      <c r="W13" s="326"/>
    </row>
    <row r="14" spans="1:23">
      <c r="A14" s="326" t="str">
        <f ca="1">'CSHFLO w ePUP'!A14</f>
        <v xml:space="preserve">    Spot Revenue</v>
      </c>
      <c r="C14" s="328">
        <f>'Co IS'!C12</f>
        <v>9096.9885575593562</v>
      </c>
      <c r="D14" s="328">
        <f>'Co IS'!D12</f>
        <v>24969.329618222044</v>
      </c>
      <c r="E14" s="328">
        <f>'Co IS'!E12</f>
        <v>24953.239630039927</v>
      </c>
      <c r="F14" s="328">
        <f>'Co IS'!F12</f>
        <v>25916.861991501624</v>
      </c>
      <c r="G14" s="328">
        <f>'Co IS'!G12</f>
        <v>26004.163136320436</v>
      </c>
      <c r="H14" s="328">
        <f>'Co IS'!H12</f>
        <v>22029.730420557811</v>
      </c>
      <c r="I14" s="328">
        <f>'Co IS'!I12</f>
        <v>25832.444698313033</v>
      </c>
      <c r="J14" s="328">
        <f>'Co IS'!J12</f>
        <v>29838.48549015119</v>
      </c>
      <c r="K14" s="328">
        <f>'Co IS'!K12</f>
        <v>30212.118526126778</v>
      </c>
      <c r="L14" s="328">
        <f>'Co IS'!L12</f>
        <v>29552.425024262608</v>
      </c>
      <c r="M14" s="328">
        <f>'Co IS'!M12</f>
        <v>30145.191414116238</v>
      </c>
      <c r="N14" s="328">
        <f>'Co IS'!N12</f>
        <v>29608.482059286162</v>
      </c>
      <c r="O14" s="328">
        <f>'Co IS'!O12</f>
        <v>30318.421751258113</v>
      </c>
      <c r="P14" s="328">
        <f>'Co IS'!P12</f>
        <v>29037.647071435193</v>
      </c>
      <c r="Q14" s="328">
        <f>'Co IS'!Q12</f>
        <v>31932.069320129191</v>
      </c>
      <c r="R14" s="328">
        <f>'Co IS'!R12</f>
        <v>34619.491899677727</v>
      </c>
      <c r="S14" s="328">
        <f>'Co IS'!S12</f>
        <v>37491.533048382487</v>
      </c>
      <c r="T14" s="328">
        <f>'Co IS'!T12</f>
        <v>38148.972588033845</v>
      </c>
      <c r="U14" s="328">
        <f>'Co IS'!U12</f>
        <v>39594.909535552164</v>
      </c>
      <c r="V14" s="328">
        <f>'Co IS'!V12</f>
        <v>36082.035749385941</v>
      </c>
      <c r="W14" s="326"/>
    </row>
    <row r="15" spans="1:23">
      <c r="A15" s="326" t="str">
        <f ca="1">'CSHFLO w ePUP'!A15</f>
        <v>Total Project Revenues</v>
      </c>
      <c r="C15" s="327">
        <f ca="1">SUM(C10:C14)</f>
        <v>21350.252858486325</v>
      </c>
      <c r="D15" s="327">
        <f t="shared" ref="D15:V15" ca="1" si="1">SUM(D10:D14)</f>
        <v>69907.584090633929</v>
      </c>
      <c r="E15" s="327">
        <f t="shared" ca="1" si="1"/>
        <v>68858.556191150914</v>
      </c>
      <c r="F15" s="327">
        <f t="shared" ca="1" si="1"/>
        <v>71234.008611202473</v>
      </c>
      <c r="G15" s="327">
        <f t="shared" ca="1" si="1"/>
        <v>72158.547374209797</v>
      </c>
      <c r="H15" s="327">
        <f t="shared" ca="1" si="1"/>
        <v>59490.188088137016</v>
      </c>
      <c r="I15" s="327">
        <f t="shared" ca="1" si="1"/>
        <v>71282.41929840151</v>
      </c>
      <c r="J15" s="327">
        <f t="shared" ca="1" si="1"/>
        <v>82808.26549371735</v>
      </c>
      <c r="K15" s="327">
        <f t="shared" ca="1" si="1"/>
        <v>84758.747861469383</v>
      </c>
      <c r="L15" s="327">
        <f t="shared" ca="1" si="1"/>
        <v>81513.809227071441</v>
      </c>
      <c r="M15" s="327">
        <f t="shared" ca="1" si="1"/>
        <v>83924.9440377672</v>
      </c>
      <c r="N15" s="327">
        <f t="shared" ca="1" si="1"/>
        <v>81052.061372692027</v>
      </c>
      <c r="O15" s="327">
        <f t="shared" ca="1" si="1"/>
        <v>81298.949208195903</v>
      </c>
      <c r="P15" s="327">
        <f t="shared" ca="1" si="1"/>
        <v>76349.868718046229</v>
      </c>
      <c r="Q15" s="327">
        <f t="shared" ca="1" si="1"/>
        <v>85344.238189856347</v>
      </c>
      <c r="R15" s="327">
        <f t="shared" ca="1" si="1"/>
        <v>93057.967139527085</v>
      </c>
      <c r="S15" s="327">
        <f t="shared" ca="1" si="1"/>
        <v>100841.13408603662</v>
      </c>
      <c r="T15" s="327">
        <f t="shared" ca="1" si="1"/>
        <v>101453.22540512738</v>
      </c>
      <c r="U15" s="327">
        <f t="shared" ca="1" si="1"/>
        <v>100010.44702744007</v>
      </c>
      <c r="V15" s="327">
        <f t="shared" ca="1" si="1"/>
        <v>88335.681942297495</v>
      </c>
      <c r="W15" s="326"/>
    </row>
    <row r="16" spans="1:23">
      <c r="A16" s="329"/>
      <c r="C16" s="33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26"/>
    </row>
    <row r="17" spans="1:23">
      <c r="A17" s="331" t="s">
        <v>286</v>
      </c>
      <c r="D17" s="332"/>
      <c r="E17" s="332"/>
      <c r="F17" s="332"/>
      <c r="G17" s="332"/>
      <c r="H17" s="332"/>
      <c r="I17" s="332"/>
      <c r="J17" s="332"/>
      <c r="W17" s="326"/>
    </row>
    <row r="18" spans="1:23">
      <c r="A18" s="331" t="s">
        <v>287</v>
      </c>
      <c r="C18" s="327">
        <f ca="1">'Co IS'!C16</f>
        <v>2422.5367338246688</v>
      </c>
      <c r="D18" s="327">
        <f ca="1">'Co IS'!D16</f>
        <v>7479.5135160014624</v>
      </c>
      <c r="E18" s="327">
        <f ca="1">'Co IS'!E16</f>
        <v>8363.3032782439604</v>
      </c>
      <c r="F18" s="327">
        <f ca="1">'Co IS'!F16</f>
        <v>8858.1597919343876</v>
      </c>
      <c r="G18" s="327">
        <f ca="1">'Co IS'!G16</f>
        <v>8649.2037442468663</v>
      </c>
      <c r="H18" s="327">
        <f ca="1">'Co IS'!H16</f>
        <v>8438.6746983976063</v>
      </c>
      <c r="I18" s="327">
        <f ca="1">'Co IS'!I16</f>
        <v>8939.7586871747171</v>
      </c>
      <c r="J18" s="327">
        <f ca="1">'Co IS'!J16</f>
        <v>9415.9209751249382</v>
      </c>
      <c r="K18" s="327">
        <f ca="1">'Co IS'!K16</f>
        <v>9597.1475971032123</v>
      </c>
      <c r="L18" s="327">
        <f ca="1">'Co IS'!L16</f>
        <v>9695.6894349314152</v>
      </c>
      <c r="M18" s="327">
        <f ca="1">'Co IS'!M16</f>
        <v>9878.0146321325083</v>
      </c>
      <c r="N18" s="327">
        <f ca="1">'Co IS'!N16</f>
        <v>10000.673485074472</v>
      </c>
      <c r="O18" s="327">
        <f ca="1">'Co IS'!O16</f>
        <v>10565.153439807755</v>
      </c>
      <c r="P18" s="327">
        <f ca="1">'Co IS'!P16</f>
        <v>10658.67603260217</v>
      </c>
      <c r="Q18" s="327">
        <f ca="1">'Co IS'!Q16</f>
        <v>11079.901920796188</v>
      </c>
      <c r="R18" s="327">
        <f ca="1">'Co IS'!R16</f>
        <v>11354.189170162097</v>
      </c>
      <c r="S18" s="327">
        <f ca="1">'Co IS'!S16</f>
        <v>11768.693325210694</v>
      </c>
      <c r="T18" s="327">
        <f ca="1">'Co IS'!T16</f>
        <v>12013.159254115955</v>
      </c>
      <c r="U18" s="327">
        <f ca="1">'Co IS'!U16</f>
        <v>12362.516756547986</v>
      </c>
      <c r="V18" s="327">
        <f ca="1">'Co IS'!V16</f>
        <v>12274.783414374866</v>
      </c>
      <c r="W18" s="326"/>
    </row>
    <row r="19" spans="1:23">
      <c r="A19" s="331" t="s">
        <v>304</v>
      </c>
      <c r="C19" s="327">
        <f ca="1">'Co IS'!C17</f>
        <v>2061.1030478623411</v>
      </c>
      <c r="D19" s="327">
        <f ca="1">'Co IS'!D17</f>
        <v>4979.7354441333791</v>
      </c>
      <c r="E19" s="327">
        <f ca="1">'Co IS'!E17</f>
        <v>5135.5445725448271</v>
      </c>
      <c r="F19" s="327">
        <f ca="1">'Co IS'!F17</f>
        <v>5273.9894022795052</v>
      </c>
      <c r="G19" s="327">
        <f ca="1">'Co IS'!G17</f>
        <v>5376.8765778589532</v>
      </c>
      <c r="H19" s="327">
        <f ca="1">'Co IS'!H17</f>
        <v>5482.6549400119911</v>
      </c>
      <c r="I19" s="327">
        <f ca="1">'Co IS'!I17</f>
        <v>5630.6645354992579</v>
      </c>
      <c r="J19" s="327">
        <f ca="1">'Co IS'!J17</f>
        <v>5780.5280022931474</v>
      </c>
      <c r="K19" s="327">
        <f ca="1">'Co IS'!K17</f>
        <v>5917.4266243063003</v>
      </c>
      <c r="L19" s="327">
        <f ca="1">'Co IS'!L17</f>
        <v>6053.339559167588</v>
      </c>
      <c r="M19" s="327">
        <f ca="1">'Co IS'!M17</f>
        <v>6197.3795394248273</v>
      </c>
      <c r="N19" s="327">
        <f ca="1">'Co IS'!N17</f>
        <v>6341.7743378657533</v>
      </c>
      <c r="O19" s="327">
        <f ca="1">'Co IS'!O17</f>
        <v>6514.1935527845626</v>
      </c>
      <c r="P19" s="327">
        <f ca="1">'Co IS'!P17</f>
        <v>6664.4097214151043</v>
      </c>
      <c r="Q19" s="327">
        <f ca="1">'Co IS'!Q17</f>
        <v>6836.5693008623712</v>
      </c>
      <c r="R19" s="327">
        <f ca="1">'Co IS'!R17</f>
        <v>6988.5864669146094</v>
      </c>
      <c r="S19" s="327">
        <f ca="1">'Co IS'!S17</f>
        <v>7168.0447029391062</v>
      </c>
      <c r="T19" s="327">
        <f ca="1">'Co IS'!T17</f>
        <v>7342.6304141428946</v>
      </c>
      <c r="U19" s="327">
        <f ca="1">'Co IS'!U17</f>
        <v>7527.1740338114059</v>
      </c>
      <c r="V19" s="327">
        <f ca="1">'Co IS'!V17</f>
        <v>7692.7422445834436</v>
      </c>
      <c r="W19" s="326"/>
    </row>
    <row r="20" spans="1:23">
      <c r="A20" s="331" t="s">
        <v>457</v>
      </c>
      <c r="C20" s="327">
        <f ca="1">C11</f>
        <v>6554.1968288322732</v>
      </c>
      <c r="D20" s="327">
        <f t="shared" ref="D20:V20" ca="1" si="2">D11</f>
        <v>17078.375549732791</v>
      </c>
      <c r="E20" s="327">
        <f t="shared" ca="1" si="2"/>
        <v>16130.958821662725</v>
      </c>
      <c r="F20" s="327">
        <f t="shared" ca="1" si="2"/>
        <v>16572.475338536002</v>
      </c>
      <c r="G20" s="327">
        <f t="shared" ca="1" si="2"/>
        <v>16880.043132768158</v>
      </c>
      <c r="H20" s="327">
        <f t="shared" ca="1" si="2"/>
        <v>13127.642217994269</v>
      </c>
      <c r="I20" s="327">
        <f t="shared" ca="1" si="2"/>
        <v>16401.710618944526</v>
      </c>
      <c r="J20" s="327">
        <f t="shared" ca="1" si="2"/>
        <v>19905.425451599385</v>
      </c>
      <c r="K20" s="327">
        <f t="shared" ca="1" si="2"/>
        <v>20087.972933624507</v>
      </c>
      <c r="L20" s="327">
        <f t="shared" ca="1" si="2"/>
        <v>19324.29442074291</v>
      </c>
      <c r="M20" s="327">
        <f t="shared" ca="1" si="2"/>
        <v>19724.68807837542</v>
      </c>
      <c r="N20" s="327">
        <f t="shared" ca="1" si="2"/>
        <v>19058.535313421067</v>
      </c>
      <c r="O20" s="327">
        <f t="shared" ca="1" si="2"/>
        <v>19172.901553513526</v>
      </c>
      <c r="P20" s="327">
        <f t="shared" ca="1" si="2"/>
        <v>17793.529624418101</v>
      </c>
      <c r="Q20" s="327">
        <f t="shared" ca="1" si="2"/>
        <v>20243.626738451392</v>
      </c>
      <c r="R20" s="327">
        <f t="shared" ca="1" si="2"/>
        <v>22657.829864552827</v>
      </c>
      <c r="S20" s="327">
        <f t="shared" ca="1" si="2"/>
        <v>25093.126878128762</v>
      </c>
      <c r="T20" s="327">
        <f t="shared" ca="1" si="2"/>
        <v>25492.977926525833</v>
      </c>
      <c r="U20" s="327">
        <f t="shared" ca="1" si="2"/>
        <v>26570.836405817452</v>
      </c>
      <c r="V20" s="327">
        <f t="shared" ca="1" si="2"/>
        <v>23150.427616580742</v>
      </c>
      <c r="W20" s="326"/>
    </row>
    <row r="21" spans="1:23">
      <c r="A21" s="331" t="str">
        <f ca="1">'CSHFLO w ePUP'!A21</f>
        <v xml:space="preserve">   Other O&amp;M</v>
      </c>
      <c r="C21" s="327">
        <f ca="1">'Co IS'!C18</f>
        <v>180.5138361779243</v>
      </c>
      <c r="D21" s="327">
        <f ca="1">'Co IS'!D18</f>
        <v>1019.4494150267261</v>
      </c>
      <c r="E21" s="327">
        <f ca="1">'Co IS'!E18</f>
        <v>1022.6769264690072</v>
      </c>
      <c r="F21" s="327">
        <f ca="1">'Co IS'!F18</f>
        <v>789.19843846399613</v>
      </c>
      <c r="G21" s="327">
        <f ca="1">'Co IS'!G18</f>
        <v>795.54341548832792</v>
      </c>
      <c r="H21" s="327">
        <f ca="1">'Co IS'!H18</f>
        <v>748.25730774182796</v>
      </c>
      <c r="I21" s="327">
        <f ca="1">'Co IS'!I18</f>
        <v>798.51315159034107</v>
      </c>
      <c r="J21" s="327">
        <f ca="1">'Co IS'!J18</f>
        <v>853.69081784471882</v>
      </c>
      <c r="K21" s="327">
        <f ca="1">'Co IS'!K18</f>
        <v>863.14898371874551</v>
      </c>
      <c r="L21" s="327">
        <f ca="1">'Co IS'!L18</f>
        <v>856.2474959961728</v>
      </c>
      <c r="M21" s="327">
        <f ca="1">'Co IS'!M18</f>
        <v>867.16355990471584</v>
      </c>
      <c r="N21" s="327">
        <f ca="1">'Co IS'!N18</f>
        <v>862.94192627695031</v>
      </c>
      <c r="O21" s="327">
        <f ca="1">'Co IS'!O18</f>
        <v>871.7179371964869</v>
      </c>
      <c r="P21" s="327">
        <f ca="1">'Co IS'!P18</f>
        <v>859.71144222754924</v>
      </c>
      <c r="Q21" s="327">
        <f ca="1">'Co IS'!Q18</f>
        <v>901.37564824827359</v>
      </c>
      <c r="R21" s="327">
        <f ca="1">'Co IS'!R18</f>
        <v>943.47839187344971</v>
      </c>
      <c r="S21" s="327">
        <f ca="1">'Co IS'!S18</f>
        <v>986.19952411532734</v>
      </c>
      <c r="T21" s="327">
        <f ca="1">'Co IS'!T18</f>
        <v>998.0956583560635</v>
      </c>
      <c r="U21" s="327">
        <f ca="1">'Co IS'!U18</f>
        <v>1019.4456550314117</v>
      </c>
      <c r="V21" s="327">
        <f ca="1">'Co IS'!V18</f>
        <v>976.63834414426287</v>
      </c>
      <c r="W21" s="326"/>
    </row>
    <row r="22" spans="1:23">
      <c r="A22" s="331" t="s">
        <v>305</v>
      </c>
      <c r="C22" s="327">
        <f>OandM!C65</f>
        <v>0</v>
      </c>
      <c r="D22" s="327">
        <f ca="1">OandM!D65</f>
        <v>0</v>
      </c>
      <c r="E22" s="327">
        <f ca="1">OandM!E65</f>
        <v>121.9483600178628</v>
      </c>
      <c r="F22" s="327">
        <f ca="1">OandM!F65</f>
        <v>53.162309015630854</v>
      </c>
      <c r="G22" s="327">
        <f ca="1">OandM!G65</f>
        <v>-16.772231534086586</v>
      </c>
      <c r="H22" s="327">
        <f ca="1">OandM!H65</f>
        <v>-21.133578182123301</v>
      </c>
      <c r="I22" s="327">
        <f ca="1">OandM!I65</f>
        <v>78.019829363568761</v>
      </c>
      <c r="J22" s="327">
        <f ca="1">OandM!J65</f>
        <v>75.50591909434047</v>
      </c>
      <c r="K22" s="327">
        <f ca="1">OandM!K65</f>
        <v>34.348806641033889</v>
      </c>
      <c r="L22" s="327">
        <f ca="1">OandM!L65</f>
        <v>22.737100934786213</v>
      </c>
      <c r="M22" s="327">
        <f ca="1">OandM!M65</f>
        <v>35.190459134901175</v>
      </c>
      <c r="N22" s="327">
        <f ca="1">OandM!N65</f>
        <v>26.625169956970012</v>
      </c>
      <c r="O22" s="327">
        <f ca="1">OandM!O65</f>
        <v>84.428349727989144</v>
      </c>
      <c r="P22" s="327">
        <f ca="1">OandM!P65</f>
        <v>22.874214608067632</v>
      </c>
      <c r="Q22" s="327">
        <f ca="1">OandM!Q65</f>
        <v>69.458941910391786</v>
      </c>
      <c r="R22" s="327">
        <f ca="1">OandM!R65</f>
        <v>49.737230696203369</v>
      </c>
      <c r="S22" s="327">
        <f ca="1">OandM!S65</f>
        <v>69.317092471398155</v>
      </c>
      <c r="T22" s="327">
        <f ca="1">OandM!T65</f>
        <v>45.435789634695084</v>
      </c>
      <c r="U22" s="327">
        <f ca="1">OandM!U65</f>
        <v>59.95317207325752</v>
      </c>
      <c r="V22" s="327">
        <f ca="1">OandM!V65</f>
        <v>-2225.083763750702</v>
      </c>
      <c r="W22" s="326"/>
    </row>
    <row r="23" spans="1:23">
      <c r="A23" s="331" t="s">
        <v>306</v>
      </c>
      <c r="C23" s="328">
        <f ca="1">IF(C6='ASSUM 1'!$D$36,-OandM!C45,0)</f>
        <v>0</v>
      </c>
      <c r="D23" s="328">
        <f ca="1">IF(D6='ASSUM 1'!$D$36,-OandM!D45,0)</f>
        <v>0</v>
      </c>
      <c r="E23" s="328">
        <f ca="1">IF(E6='ASSUM 1'!$D$36,-OandM!E45,0)</f>
        <v>0</v>
      </c>
      <c r="F23" s="328">
        <f ca="1">IF(F6='ASSUM 1'!$D$36,-OandM!F45,0)</f>
        <v>0</v>
      </c>
      <c r="G23" s="328">
        <f ca="1">IF(G6='ASSUM 1'!$D$36,-OandM!G45,0)</f>
        <v>0</v>
      </c>
      <c r="H23" s="328">
        <f ca="1">IF(H6='ASSUM 1'!$D$36,-OandM!H45,0)</f>
        <v>0</v>
      </c>
      <c r="I23" s="328">
        <f ca="1">IF(I6='ASSUM 1'!$D$36,-OandM!I45,0)</f>
        <v>0</v>
      </c>
      <c r="J23" s="328">
        <f ca="1">IF(J6='ASSUM 1'!$D$36,-OandM!J45,0)</f>
        <v>0</v>
      </c>
      <c r="K23" s="328">
        <f ca="1">IF(K6='ASSUM 1'!$D$36,-OandM!K45,0)</f>
        <v>0</v>
      </c>
      <c r="L23" s="328">
        <f ca="1">IF(L6='ASSUM 1'!$D$36,-OandM!L45,0)</f>
        <v>0</v>
      </c>
      <c r="M23" s="328">
        <f ca="1">IF(M6='ASSUM 1'!$D$36,-OandM!M45,0)</f>
        <v>0</v>
      </c>
      <c r="N23" s="328">
        <f ca="1">IF(N6='ASSUM 1'!$D$36,-OandM!N45,0)</f>
        <v>0</v>
      </c>
      <c r="O23" s="328">
        <f ca="1">IF(O6='ASSUM 1'!$D$36,-OandM!O45,0)</f>
        <v>0</v>
      </c>
      <c r="P23" s="328">
        <f ca="1">IF(P6='ASSUM 1'!$D$36,-OandM!P45,0)</f>
        <v>0</v>
      </c>
      <c r="Q23" s="328">
        <f ca="1">IF(Q6='ASSUM 1'!$D$36,-OandM!Q45,0)</f>
        <v>0</v>
      </c>
      <c r="R23" s="328">
        <f ca="1">IF(R6='ASSUM 1'!$D$36,-OandM!R45,0)</f>
        <v>0</v>
      </c>
      <c r="S23" s="328">
        <f ca="1">IF(S6='ASSUM 1'!$D$36,-OandM!S45,0)</f>
        <v>0</v>
      </c>
      <c r="T23" s="328">
        <f ca="1">IF(T6='ASSUM 1'!$D$36,-OandM!T45,0)</f>
        <v>0</v>
      </c>
      <c r="U23" s="328">
        <f ca="1">IF(U6='ASSUM 1'!$D$36,-OandM!U45,0)</f>
        <v>0</v>
      </c>
      <c r="V23" s="328">
        <f ca="1">IF(V6='ASSUM 1'!$D$36,-OandM!V45,0)</f>
        <v>-15127.460521767012</v>
      </c>
      <c r="W23" s="326"/>
    </row>
    <row r="24" spans="1:23">
      <c r="A24" s="331" t="str">
        <f>'CSHFLO w ePUP'!A22</f>
        <v xml:space="preserve">   Working Capital Changes</v>
      </c>
      <c r="C24" s="327">
        <f t="shared" ref="C24:V24" ca="1" si="3">SUM(C18:C23)</f>
        <v>11218.350446697208</v>
      </c>
      <c r="D24" s="327">
        <f t="shared" ca="1" si="3"/>
        <v>30557.073924894361</v>
      </c>
      <c r="E24" s="327">
        <f t="shared" ca="1" si="3"/>
        <v>30774.431958938389</v>
      </c>
      <c r="F24" s="327">
        <f t="shared" ca="1" si="3"/>
        <v>31546.985280229521</v>
      </c>
      <c r="G24" s="327">
        <f t="shared" ca="1" si="3"/>
        <v>31684.89463882822</v>
      </c>
      <c r="H24" s="327">
        <f t="shared" ca="1" si="3"/>
        <v>27776.095585963572</v>
      </c>
      <c r="I24" s="327">
        <f t="shared" ca="1" si="3"/>
        <v>31848.666822572413</v>
      </c>
      <c r="J24" s="327">
        <f t="shared" ca="1" si="3"/>
        <v>36031.071165956535</v>
      </c>
      <c r="K24" s="327">
        <f t="shared" ca="1" si="3"/>
        <v>36500.044945393798</v>
      </c>
      <c r="L24" s="327">
        <f t="shared" ca="1" si="3"/>
        <v>35952.308011772868</v>
      </c>
      <c r="M24" s="327">
        <f t="shared" ca="1" si="3"/>
        <v>36702.436268972371</v>
      </c>
      <c r="N24" s="327">
        <f t="shared" ca="1" si="3"/>
        <v>36290.550232595211</v>
      </c>
      <c r="O24" s="327">
        <f t="shared" ca="1" si="3"/>
        <v>37208.394833030317</v>
      </c>
      <c r="P24" s="327">
        <f t="shared" ca="1" si="3"/>
        <v>35999.201035270991</v>
      </c>
      <c r="Q24" s="327">
        <f t="shared" ca="1" si="3"/>
        <v>39130.932550268619</v>
      </c>
      <c r="R24" s="327">
        <f t="shared" ca="1" si="3"/>
        <v>41993.821124199181</v>
      </c>
      <c r="S24" s="327">
        <f t="shared" ca="1" si="3"/>
        <v>45085.381522865289</v>
      </c>
      <c r="T24" s="327">
        <f t="shared" ca="1" si="3"/>
        <v>45892.299042775441</v>
      </c>
      <c r="U24" s="327">
        <f t="shared" ca="1" si="3"/>
        <v>47539.926023281514</v>
      </c>
      <c r="V24" s="327">
        <f t="shared" ca="1" si="3"/>
        <v>26742.047334165603</v>
      </c>
      <c r="W24" s="326"/>
    </row>
    <row r="25" spans="1:23">
      <c r="A25" s="331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6"/>
    </row>
    <row r="26" spans="1:23">
      <c r="A26" s="331" t="s">
        <v>307</v>
      </c>
      <c r="C26" s="327">
        <f t="shared" ref="C26:V26" ca="1" si="4">C15-C24</f>
        <v>10131.902411789117</v>
      </c>
      <c r="D26" s="327">
        <f t="shared" ca="1" si="4"/>
        <v>39350.510165739572</v>
      </c>
      <c r="E26" s="327">
        <f t="shared" ca="1" si="4"/>
        <v>38084.124232212525</v>
      </c>
      <c r="F26" s="327">
        <f t="shared" ca="1" si="4"/>
        <v>39687.023330972952</v>
      </c>
      <c r="G26" s="327">
        <f t="shared" ca="1" si="4"/>
        <v>40473.652735381576</v>
      </c>
      <c r="H26" s="327">
        <f t="shared" ca="1" si="4"/>
        <v>31714.092502173444</v>
      </c>
      <c r="I26" s="327">
        <f t="shared" ca="1" si="4"/>
        <v>39433.752475829097</v>
      </c>
      <c r="J26" s="327">
        <f t="shared" ca="1" si="4"/>
        <v>46777.194327760815</v>
      </c>
      <c r="K26" s="327">
        <f t="shared" ca="1" si="4"/>
        <v>48258.702916075585</v>
      </c>
      <c r="L26" s="327">
        <f t="shared" ca="1" si="4"/>
        <v>45561.501215298573</v>
      </c>
      <c r="M26" s="327">
        <f t="shared" ca="1" si="4"/>
        <v>47222.507768794829</v>
      </c>
      <c r="N26" s="327">
        <f t="shared" ca="1" si="4"/>
        <v>44761.511140096816</v>
      </c>
      <c r="O26" s="327">
        <f t="shared" ca="1" si="4"/>
        <v>44090.554375165586</v>
      </c>
      <c r="P26" s="327">
        <f t="shared" ca="1" si="4"/>
        <v>40350.667682775238</v>
      </c>
      <c r="Q26" s="327">
        <f t="shared" ca="1" si="4"/>
        <v>46213.305639587728</v>
      </c>
      <c r="R26" s="327">
        <f t="shared" ca="1" si="4"/>
        <v>51064.146015327904</v>
      </c>
      <c r="S26" s="327">
        <f t="shared" ca="1" si="4"/>
        <v>55755.752563171329</v>
      </c>
      <c r="T26" s="327">
        <f t="shared" ca="1" si="4"/>
        <v>55560.926362351936</v>
      </c>
      <c r="U26" s="327">
        <f t="shared" ca="1" si="4"/>
        <v>52470.521004158552</v>
      </c>
      <c r="V26" s="327">
        <f t="shared" ca="1" si="4"/>
        <v>61593.634608131892</v>
      </c>
      <c r="W26" s="326"/>
    </row>
    <row r="27" spans="1:23">
      <c r="A27" s="326"/>
      <c r="W27" s="326"/>
    </row>
    <row r="28" spans="1:23">
      <c r="A28" s="326" t="s">
        <v>308</v>
      </c>
      <c r="V28" s="327"/>
      <c r="W28" s="326"/>
    </row>
    <row r="29" spans="1:23">
      <c r="A29" s="326" t="s">
        <v>309</v>
      </c>
      <c r="C29" s="327">
        <f ca="1">'IS-ENA'!C24</f>
        <v>0</v>
      </c>
      <c r="D29" s="327">
        <f ca="1">'IS-ENA'!D24</f>
        <v>9426.17</v>
      </c>
      <c r="E29" s="327">
        <f ca="1">'IS-ENA'!E24</f>
        <v>9264.5</v>
      </c>
      <c r="F29" s="327">
        <f ca="1">'IS-ENA'!F24</f>
        <v>9080.43</v>
      </c>
      <c r="G29" s="327">
        <f ca="1">'IS-ENA'!G24</f>
        <v>8853.23</v>
      </c>
      <c r="H29" s="327">
        <f ca="1">'IS-ENA'!H24</f>
        <v>8589.4699999999993</v>
      </c>
      <c r="I29" s="327">
        <f ca="1">'IS-ENA'!I24</f>
        <v>8311.17</v>
      </c>
      <c r="J29" s="327">
        <f ca="1">'IS-ENA'!J24</f>
        <v>7950.41</v>
      </c>
      <c r="K29" s="327">
        <f ca="1">'IS-ENA'!K24</f>
        <v>7572.8</v>
      </c>
      <c r="L29" s="327">
        <f ca="1">'IS-ENA'!L24</f>
        <v>7099.69</v>
      </c>
      <c r="M29" s="327">
        <f ca="1">'IS-ENA'!M24</f>
        <v>6607.8</v>
      </c>
      <c r="N29" s="327">
        <f ca="1">'IS-ENA'!N24</f>
        <v>6009.53</v>
      </c>
      <c r="O29" s="327">
        <f ca="1">'IS-ENA'!O24</f>
        <v>5408.87</v>
      </c>
      <c r="P29" s="327">
        <f ca="1">'IS-ENA'!P24</f>
        <v>4794.62</v>
      </c>
      <c r="Q29" s="327">
        <f ca="1">'IS-ENA'!Q24</f>
        <v>4165.8599999999997</v>
      </c>
      <c r="R29" s="327">
        <f ca="1">'IS-ENA'!R24</f>
        <v>3454.87</v>
      </c>
      <c r="S29" s="327">
        <f ca="1">'IS-ENA'!S24</f>
        <v>2744.23</v>
      </c>
      <c r="T29" s="327">
        <f ca="1">'IS-ENA'!T24</f>
        <v>2035.48</v>
      </c>
      <c r="U29" s="327">
        <f>'IS-ENA'!U24</f>
        <v>0</v>
      </c>
      <c r="V29" s="327">
        <f>'IS-ENA'!V24</f>
        <v>0</v>
      </c>
      <c r="W29" s="326"/>
    </row>
    <row r="30" spans="1:23">
      <c r="A30" s="326" t="s">
        <v>310</v>
      </c>
      <c r="C30" s="327">
        <f ca="1">'ENA Debt'!C35</f>
        <v>0</v>
      </c>
      <c r="D30" s="327">
        <f ca="1">'ENA Debt'!D35</f>
        <v>1985.8129039801206</v>
      </c>
      <c r="E30" s="327">
        <f ca="1">'ENA Debt'!E35</f>
        <v>2219.8952338536419</v>
      </c>
      <c r="F30" s="327">
        <f ca="1">'ENA Debt'!F35</f>
        <v>2759.370280486768</v>
      </c>
      <c r="G30" s="327">
        <f ca="1">'ENA Debt'!G35</f>
        <v>3296.9510313626406</v>
      </c>
      <c r="H30" s="327">
        <f ca="1">'ENA Debt'!H35</f>
        <v>3296.9510313626406</v>
      </c>
      <c r="I30" s="327">
        <f ca="1">'ENA Debt'!I35</f>
        <v>4509.4421506393901</v>
      </c>
      <c r="J30" s="327">
        <f ca="1">'ENA Debt'!J35</f>
        <v>4509.4421506394037</v>
      </c>
      <c r="K30" s="327">
        <f ca="1">'ENA Debt'!K35</f>
        <v>5913.9738351167398</v>
      </c>
      <c r="L30" s="327">
        <f ca="1">'ENA Debt'!L35</f>
        <v>5913.9738351167398</v>
      </c>
      <c r="M30" s="327">
        <f ca="1">'ENA Debt'!M35</f>
        <v>7478.3265297064227</v>
      </c>
      <c r="N30" s="327">
        <f ca="1">'ENA Debt'!N35</f>
        <v>7478.3265297064354</v>
      </c>
      <c r="O30" s="327">
        <f ca="1">'ENA Debt'!O35</f>
        <v>7678.125</v>
      </c>
      <c r="P30" s="327">
        <f ca="1">'ENA Debt'!P35</f>
        <v>7678.125</v>
      </c>
      <c r="Q30" s="327">
        <f ca="1">'ENA Debt'!Q35</f>
        <v>8887.2672410090072</v>
      </c>
      <c r="R30" s="327">
        <f ca="1">'ENA Debt'!R35</f>
        <v>8887.2672410090217</v>
      </c>
      <c r="S30" s="327">
        <f ca="1">'ENA Debt'!S35</f>
        <v>8859.375</v>
      </c>
      <c r="T30" s="327">
        <f ca="1">'ENA Debt'!T35</f>
        <v>8859.375</v>
      </c>
      <c r="U30" s="327">
        <f ca="1">'ENA Debt'!U35</f>
        <v>5906.25</v>
      </c>
      <c r="V30" s="327">
        <f ca="1">'ENA Debt'!V35</f>
        <v>5906.25</v>
      </c>
      <c r="W30" s="326"/>
    </row>
    <row r="31" spans="1:23">
      <c r="A31" s="326" t="s">
        <v>458</v>
      </c>
      <c r="C31" s="327">
        <f ca="1">IF(C26-C29-C30&gt;C10,C10,C26-C29-C30)</f>
        <v>0</v>
      </c>
      <c r="D31" s="327">
        <f t="shared" ref="D31:V31" ca="1" si="5">IF(D26-D29-D30&gt;D10,D10,D26-D29-D30)</f>
        <v>11411.982903980121</v>
      </c>
      <c r="E31" s="327">
        <f t="shared" ca="1" si="5"/>
        <v>11484.395233853642</v>
      </c>
      <c r="F31" s="327">
        <f t="shared" ca="1" si="5"/>
        <v>11839.800280486768</v>
      </c>
      <c r="G31" s="327">
        <f t="shared" ca="1" si="5"/>
        <v>12150.181031362641</v>
      </c>
      <c r="H31" s="327">
        <f t="shared" ca="1" si="5"/>
        <v>11886.421031362639</v>
      </c>
      <c r="I31" s="327">
        <f t="shared" ca="1" si="5"/>
        <v>12820.61215063939</v>
      </c>
      <c r="J31" s="327">
        <f t="shared" ca="1" si="5"/>
        <v>12459.852150639403</v>
      </c>
      <c r="K31" s="327">
        <f t="shared" ca="1" si="5"/>
        <v>13486.773835116739</v>
      </c>
      <c r="L31" s="327">
        <f t="shared" ca="1" si="5"/>
        <v>13013.663835116738</v>
      </c>
      <c r="M31" s="327">
        <f t="shared" ca="1" si="5"/>
        <v>14086.126529706424</v>
      </c>
      <c r="N31" s="327">
        <f t="shared" ca="1" si="5"/>
        <v>13487.856529706434</v>
      </c>
      <c r="O31" s="327">
        <f t="shared" ca="1" si="5"/>
        <v>13086.994999999999</v>
      </c>
      <c r="P31" s="327">
        <f t="shared" ca="1" si="5"/>
        <v>12472.744999999999</v>
      </c>
      <c r="Q31" s="327">
        <f t="shared" ca="1" si="5"/>
        <v>13053.127241009006</v>
      </c>
      <c r="R31" s="327">
        <f t="shared" ca="1" si="5"/>
        <v>12342.137241009023</v>
      </c>
      <c r="S31" s="327">
        <f t="shared" ca="1" si="5"/>
        <v>11603.605</v>
      </c>
      <c r="T31" s="327">
        <f t="shared" ca="1" si="5"/>
        <v>10894.855</v>
      </c>
      <c r="U31" s="327">
        <f t="shared" ca="1" si="5"/>
        <v>5906.25</v>
      </c>
      <c r="V31" s="327">
        <f t="shared" ca="1" si="5"/>
        <v>5906.25</v>
      </c>
      <c r="W31" s="326"/>
    </row>
    <row r="32" spans="1:23">
      <c r="A32" s="326" t="s">
        <v>294</v>
      </c>
      <c r="C32" s="327">
        <f ca="1">'IS-ENA'!C25</f>
        <v>94.036448769673299</v>
      </c>
      <c r="D32" s="327">
        <f ca="1">'IS-ENA'!D25</f>
        <v>96.29025556432812</v>
      </c>
      <c r="E32" s="327">
        <f ca="1">'IS-ENA'!E25</f>
        <v>97.850986631185336</v>
      </c>
      <c r="F32" s="327">
        <f ca="1">'IS-ENA'!F25</f>
        <v>100.48614431859328</v>
      </c>
      <c r="G32" s="327">
        <f ca="1">'IS-ENA'!G25</f>
        <v>101.86771680459985</v>
      </c>
      <c r="H32" s="327">
        <f ca="1">'IS-ENA'!H25</f>
        <v>105.38724560194991</v>
      </c>
      <c r="I32" s="327">
        <f ca="1">'IS-ENA'!I25</f>
        <v>106.45483660845719</v>
      </c>
      <c r="J32" s="327">
        <f ca="1">'IS-ENA'!J25</f>
        <v>107.45826516743416</v>
      </c>
      <c r="K32" s="327">
        <f ca="1">'IS-ENA'!K25</f>
        <v>105.83581903124734</v>
      </c>
      <c r="L32" s="327">
        <f ca="1">'IS-ENA'!L25</f>
        <v>105.89896048067494</v>
      </c>
      <c r="M32" s="327">
        <f ca="1">'IS-ENA'!M25</f>
        <v>103.10857761875917</v>
      </c>
      <c r="N32" s="327">
        <f ca="1">'IS-ENA'!N25</f>
        <v>100.09377517122884</v>
      </c>
      <c r="O32" s="327">
        <f ca="1">'IS-ENA'!O25</f>
        <v>96.586351171228841</v>
      </c>
      <c r="P32" s="327">
        <f ca="1">'IS-ENA'!P25</f>
        <v>88.25943117122884</v>
      </c>
      <c r="Q32" s="327">
        <f ca="1">'IS-ENA'!Q25</f>
        <v>78.247899585614419</v>
      </c>
      <c r="R32" s="327">
        <f ca="1">'IS-ENA'!R25</f>
        <v>68.526287999999994</v>
      </c>
      <c r="S32" s="327">
        <f ca="1">'IS-ENA'!S25</f>
        <v>62.450650000000003</v>
      </c>
      <c r="T32" s="327">
        <f ca="1">'IS-ENA'!T25</f>
        <v>54.214586666666669</v>
      </c>
      <c r="U32" s="327">
        <f ca="1">'IS-ENA'!U25</f>
        <v>52.24819999999999</v>
      </c>
      <c r="V32" s="327">
        <f ca="1">'IS-ENA'!V25</f>
        <v>50.129040000000003</v>
      </c>
      <c r="W32" s="326"/>
    </row>
    <row r="33" spans="1:23">
      <c r="A33" s="326" t="s">
        <v>295</v>
      </c>
      <c r="C33" s="328">
        <f ca="1">'Co IS'!C26</f>
        <v>-17.9725</v>
      </c>
      <c r="D33" s="328">
        <f ca="1">'Co IS'!D26</f>
        <v>-90.326909399999991</v>
      </c>
      <c r="E33" s="328">
        <f ca="1">'Co IS'!E26</f>
        <v>-164.6348878538</v>
      </c>
      <c r="F33" s="328">
        <f ca="1">'Co IS'!F26</f>
        <v>-240.94918172585255</v>
      </c>
      <c r="G33" s="328">
        <f ca="1">'Co IS'!G26</f>
        <v>-319.32396153245054</v>
      </c>
      <c r="H33" s="328">
        <f ca="1">'Co IS'!H26</f>
        <v>-399.81486039382662</v>
      </c>
      <c r="I33" s="328">
        <f ca="1">'Co IS'!I26</f>
        <v>-482.4790135244599</v>
      </c>
      <c r="J33" s="328">
        <f ca="1">'Co IS'!J26</f>
        <v>-567.37509878962021</v>
      </c>
      <c r="K33" s="328">
        <f ca="1">'Co IS'!K26</f>
        <v>-654.56337835693989</v>
      </c>
      <c r="L33" s="328">
        <f ca="1">'Co IS'!L26</f>
        <v>-744.10574147257717</v>
      </c>
      <c r="M33" s="328">
        <f ca="1">'Co IS'!M26</f>
        <v>-836.06574839233656</v>
      </c>
      <c r="N33" s="328">
        <f ca="1">'Co IS'!N26</f>
        <v>-930.50867549892962</v>
      </c>
      <c r="O33" s="328">
        <f ca="1">'Co IS'!O26</f>
        <v>0</v>
      </c>
      <c r="P33" s="328">
        <f ca="1">'Co IS'!P26</f>
        <v>-99.611694064209701</v>
      </c>
      <c r="Q33" s="328">
        <f ca="1">'Co IS'!Q26</f>
        <v>-201.91290386815305</v>
      </c>
      <c r="R33" s="328">
        <f ca="1">'Co IS'!R26</f>
        <v>-306.97624633680289</v>
      </c>
      <c r="S33" s="328">
        <f ca="1">'Co IS'!S26</f>
        <v>-414.87629905210616</v>
      </c>
      <c r="T33" s="328">
        <f ca="1">'Co IS'!T26</f>
        <v>-525.68965319072265</v>
      </c>
      <c r="U33" s="328">
        <f ca="1">'Co IS'!U26</f>
        <v>-639.49496789108184</v>
      </c>
      <c r="V33" s="328">
        <f ca="1">'Co IS'!V26</f>
        <v>-756.37302608835068</v>
      </c>
      <c r="W33" s="326"/>
    </row>
    <row r="34" spans="1:23">
      <c r="A34" s="326" t="s">
        <v>311</v>
      </c>
      <c r="C34" s="327">
        <f t="shared" ref="C34:V34" ca="1" si="6">SUM(C29:C33)</f>
        <v>76.063948769673303</v>
      </c>
      <c r="D34" s="327">
        <f t="shared" ca="1" si="6"/>
        <v>22829.929154124569</v>
      </c>
      <c r="E34" s="327">
        <f t="shared" ca="1" si="6"/>
        <v>22902.00656648467</v>
      </c>
      <c r="F34" s="327">
        <f t="shared" ca="1" si="6"/>
        <v>23539.137523566278</v>
      </c>
      <c r="G34" s="327">
        <f t="shared" ca="1" si="6"/>
        <v>24082.905817997434</v>
      </c>
      <c r="H34" s="327">
        <f t="shared" ca="1" si="6"/>
        <v>23478.414447933399</v>
      </c>
      <c r="I34" s="327">
        <f t="shared" ca="1" si="6"/>
        <v>25265.200124362778</v>
      </c>
      <c r="J34" s="327">
        <f t="shared" ca="1" si="6"/>
        <v>24459.787467656621</v>
      </c>
      <c r="K34" s="327">
        <f t="shared" ca="1" si="6"/>
        <v>26424.820110907785</v>
      </c>
      <c r="L34" s="327">
        <f t="shared" ca="1" si="6"/>
        <v>25389.120889241574</v>
      </c>
      <c r="M34" s="327">
        <f t="shared" ca="1" si="6"/>
        <v>27439.29588863927</v>
      </c>
      <c r="N34" s="327">
        <f t="shared" ca="1" si="6"/>
        <v>26145.29815908517</v>
      </c>
      <c r="O34" s="327">
        <f t="shared" ca="1" si="6"/>
        <v>26270.576351171228</v>
      </c>
      <c r="P34" s="327">
        <f t="shared" ca="1" si="6"/>
        <v>24934.137737107016</v>
      </c>
      <c r="Q34" s="327">
        <f t="shared" ca="1" si="6"/>
        <v>25982.589477735473</v>
      </c>
      <c r="R34" s="327">
        <f t="shared" ca="1" si="6"/>
        <v>24445.824523681244</v>
      </c>
      <c r="S34" s="327">
        <f t="shared" ca="1" si="6"/>
        <v>22854.784350947892</v>
      </c>
      <c r="T34" s="327">
        <f t="shared" ca="1" si="6"/>
        <v>21318.234933475942</v>
      </c>
      <c r="U34" s="327">
        <f t="shared" ca="1" si="6"/>
        <v>11225.253232108918</v>
      </c>
      <c r="V34" s="327">
        <f t="shared" ca="1" si="6"/>
        <v>11106.256013911649</v>
      </c>
      <c r="W34" s="326"/>
    </row>
    <row r="35" spans="1:23">
      <c r="A35" s="326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W35" s="326"/>
    </row>
    <row r="36" spans="1:23">
      <c r="A36" s="622" t="str">
        <f>+'Co IS'!A35</f>
        <v>VA Income Taxes</v>
      </c>
      <c r="C36" s="327">
        <f>+'IS-ENA'!C35</f>
        <v>325.51323265238909</v>
      </c>
      <c r="D36" s="327">
        <f ca="1">+'IS-ENA'!D35</f>
        <v>111.36912903510456</v>
      </c>
      <c r="E36" s="327">
        <f ca="1">+'IS-ENA'!E35</f>
        <v>138.83497364761334</v>
      </c>
      <c r="F36" s="327">
        <f ca="1">+'IS-ENA'!F35</f>
        <v>302.33822649295035</v>
      </c>
      <c r="G36" s="327">
        <f ca="1">+'IS-ENA'!G35</f>
        <v>415.00770682552138</v>
      </c>
      <c r="H36" s="327">
        <f ca="1">+'IS-ENA'!H35</f>
        <v>124.01021597455178</v>
      </c>
      <c r="I36" s="327">
        <f ca="1">+'IS-ENA'!I35</f>
        <v>588.69807732362676</v>
      </c>
      <c r="J36" s="327">
        <f ca="1">+'IS-ENA'!J35</f>
        <v>1077.4785132257459</v>
      </c>
      <c r="K36" s="327">
        <f ca="1">+'IS-ENA'!K35</f>
        <v>1129.3599463144546</v>
      </c>
      <c r="L36" s="327">
        <f ca="1">+'IS-ENA'!L35</f>
        <v>1029.8826931619806</v>
      </c>
      <c r="M36" s="327">
        <f ca="1">+'IS-ENA'!M35</f>
        <v>1100.2313516387335</v>
      </c>
      <c r="N36" s="327">
        <f ca="1">+'IS-ENA'!N35</f>
        <v>1030.6070982759734</v>
      </c>
      <c r="O36" s="327">
        <f ca="1">+'IS-ENA'!O35</f>
        <v>997.37950192226083</v>
      </c>
      <c r="P36" s="327">
        <f ca="1">+'IS-ENA'!P35</f>
        <v>850.38896705204797</v>
      </c>
      <c r="Q36" s="327">
        <f ca="1">+'IS-ENA'!Q35</f>
        <v>1213.6741601852193</v>
      </c>
      <c r="R36" s="327">
        <f ca="1">+'IS-ENA'!R35</f>
        <v>1864.9881665188473</v>
      </c>
      <c r="S36" s="327">
        <f ca="1">+'IS-ENA'!S35</f>
        <v>2509.7796182816892</v>
      </c>
      <c r="T36" s="327">
        <f ca="1">+'IS-ENA'!T35</f>
        <v>2588.8501331106413</v>
      </c>
      <c r="U36" s="327">
        <f ca="1">+'IS-ENA'!U35</f>
        <v>2832.6882566473737</v>
      </c>
      <c r="V36" s="327">
        <f ca="1">+'IS-ENA'!V35</f>
        <v>2342.465058522152</v>
      </c>
      <c r="W36" s="326"/>
    </row>
    <row r="37" spans="1:23">
      <c r="A37" s="326" t="s">
        <v>312</v>
      </c>
      <c r="C37" s="328">
        <f ca="1">+'TAXES-ENA'!C33</f>
        <v>0</v>
      </c>
      <c r="D37" s="328">
        <f ca="1">+'TAXES-ENA'!D33</f>
        <v>576.39785386132246</v>
      </c>
      <c r="E37" s="328">
        <f ca="1">+'TAXES-ENA'!E33</f>
        <v>761.27843883441301</v>
      </c>
      <c r="F37" s="328">
        <f ca="1">+'TAXES-ENA'!F33</f>
        <v>1657.8212752696775</v>
      </c>
      <c r="G37" s="328">
        <f ca="1">+'TAXES-ENA'!G33</f>
        <v>2275.6255924266088</v>
      </c>
      <c r="H37" s="328">
        <f ca="1">+'TAXES-ENA'!H33</f>
        <v>679.98935092712566</v>
      </c>
      <c r="I37" s="328">
        <f ca="1">+'TAXES-ENA'!I33</f>
        <v>3228.0277906578867</v>
      </c>
      <c r="J37" s="328">
        <f ca="1">+'TAXES-ENA'!J33</f>
        <v>5908.1738475211732</v>
      </c>
      <c r="K37" s="328">
        <f ca="1">+'TAXES-ENA'!K33</f>
        <v>6192.6570389575936</v>
      </c>
      <c r="L37" s="328">
        <f ca="1">+'TAXES-ENA'!L33</f>
        <v>5647.1901008381928</v>
      </c>
      <c r="M37" s="328">
        <f ca="1">+'TAXES-ENA'!M33</f>
        <v>6032.9352448190548</v>
      </c>
      <c r="N37" s="328">
        <f ca="1">+'TAXES-ENA'!N33</f>
        <v>5651.1622555465874</v>
      </c>
      <c r="O37" s="328">
        <f ca="1">+'TAXES-ENA'!O33</f>
        <v>5468.9642688737295</v>
      </c>
      <c r="P37" s="328">
        <f ca="1">+'TAXES-ENA'!P33</f>
        <v>4662.9661693353964</v>
      </c>
      <c r="Q37" s="328">
        <f ca="1">+'TAXES-ENA'!Q33</f>
        <v>6654.9799783489534</v>
      </c>
      <c r="R37" s="328">
        <f ca="1">+'TAXES-ENA'!R33</f>
        <v>10226.351779745013</v>
      </c>
      <c r="S37" s="328">
        <f ca="1">+'TAXES-ENA'!S33</f>
        <v>13761.958240244596</v>
      </c>
      <c r="T37" s="328">
        <f ca="1">+'TAXES-ENA'!T33</f>
        <v>14195.528229890017</v>
      </c>
      <c r="U37" s="328">
        <f ca="1">+'TAXES-ENA'!U33</f>
        <v>15532.573940616434</v>
      </c>
      <c r="V37" s="328">
        <f ca="1">+'TAXES-ENA'!V33</f>
        <v>12844.516737563134</v>
      </c>
      <c r="W37" s="326"/>
    </row>
    <row r="38" spans="1:23">
      <c r="A38" s="622" t="str">
        <f>+'Co IS'!A37</f>
        <v>Total Taxes</v>
      </c>
      <c r="C38" s="327">
        <f t="shared" ref="C38:V38" ca="1" si="7">SUM(C36:C37)</f>
        <v>325.51323265238909</v>
      </c>
      <c r="D38" s="327">
        <f t="shared" ca="1" si="7"/>
        <v>687.76698289642707</v>
      </c>
      <c r="E38" s="327">
        <f t="shared" ca="1" si="7"/>
        <v>900.11341248202632</v>
      </c>
      <c r="F38" s="327">
        <f t="shared" ca="1" si="7"/>
        <v>1960.1595017626278</v>
      </c>
      <c r="G38" s="327">
        <f t="shared" ca="1" si="7"/>
        <v>2690.6332992521302</v>
      </c>
      <c r="H38" s="327">
        <f t="shared" ca="1" si="7"/>
        <v>803.99956690167744</v>
      </c>
      <c r="I38" s="327">
        <f t="shared" ca="1" si="7"/>
        <v>3816.7258679815136</v>
      </c>
      <c r="J38" s="327">
        <f t="shared" ca="1" si="7"/>
        <v>6985.6523607469189</v>
      </c>
      <c r="K38" s="327">
        <f t="shared" ca="1" si="7"/>
        <v>7322.0169852720483</v>
      </c>
      <c r="L38" s="327">
        <f t="shared" ca="1" si="7"/>
        <v>6677.0727940001734</v>
      </c>
      <c r="M38" s="327">
        <f t="shared" ca="1" si="7"/>
        <v>7133.1665964577878</v>
      </c>
      <c r="N38" s="327">
        <f t="shared" ca="1" si="7"/>
        <v>6681.7693538225612</v>
      </c>
      <c r="O38" s="327">
        <f t="shared" ca="1" si="7"/>
        <v>6466.3437707959902</v>
      </c>
      <c r="P38" s="327">
        <f t="shared" ca="1" si="7"/>
        <v>5513.3551363874449</v>
      </c>
      <c r="Q38" s="327">
        <f t="shared" ca="1" si="7"/>
        <v>7868.6541385341725</v>
      </c>
      <c r="R38" s="327">
        <f t="shared" ca="1" si="7"/>
        <v>12091.339946263861</v>
      </c>
      <c r="S38" s="327">
        <f t="shared" ca="1" si="7"/>
        <v>16271.737858526285</v>
      </c>
      <c r="T38" s="327">
        <f t="shared" ca="1" si="7"/>
        <v>16784.378363000658</v>
      </c>
      <c r="U38" s="327">
        <f t="shared" ca="1" si="7"/>
        <v>18365.262197263808</v>
      </c>
      <c r="V38" s="327">
        <f t="shared" ca="1" si="7"/>
        <v>15186.981796085285</v>
      </c>
      <c r="W38" s="326"/>
    </row>
    <row r="39" spans="1:23">
      <c r="A39" s="333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26"/>
    </row>
    <row r="40" spans="1:23">
      <c r="A40" s="333" t="s">
        <v>313</v>
      </c>
      <c r="C40" s="335">
        <f t="shared" ref="C40:V40" ca="1" si="8">C15-C24-C34-C38</f>
        <v>9730.3252303670542</v>
      </c>
      <c r="D40" s="335">
        <f t="shared" ca="1" si="8"/>
        <v>15832.814028718576</v>
      </c>
      <c r="E40" s="335">
        <f t="shared" ca="1" si="8"/>
        <v>14282.00425324583</v>
      </c>
      <c r="F40" s="335">
        <f t="shared" ca="1" si="8"/>
        <v>14187.726305644046</v>
      </c>
      <c r="G40" s="335">
        <f t="shared" ca="1" si="8"/>
        <v>13700.113618132011</v>
      </c>
      <c r="H40" s="335">
        <f t="shared" ca="1" si="8"/>
        <v>7431.6784873383676</v>
      </c>
      <c r="I40" s="335">
        <f t="shared" ca="1" si="8"/>
        <v>10351.826483484805</v>
      </c>
      <c r="J40" s="335">
        <f t="shared" ca="1" si="8"/>
        <v>15331.754499357276</v>
      </c>
      <c r="K40" s="335">
        <f t="shared" ca="1" si="8"/>
        <v>14511.865819895751</v>
      </c>
      <c r="L40" s="335">
        <f t="shared" ca="1" si="8"/>
        <v>13495.307532056824</v>
      </c>
      <c r="M40" s="335">
        <f t="shared" ca="1" si="8"/>
        <v>12650.045283697771</v>
      </c>
      <c r="N40" s="335">
        <f t="shared" ca="1" si="8"/>
        <v>11934.443627189085</v>
      </c>
      <c r="O40" s="335">
        <f t="shared" ca="1" si="8"/>
        <v>11353.634253198368</v>
      </c>
      <c r="P40" s="335">
        <f t="shared" ca="1" si="8"/>
        <v>9903.1748092807775</v>
      </c>
      <c r="Q40" s="335">
        <f t="shared" ca="1" si="8"/>
        <v>12362.062023318082</v>
      </c>
      <c r="R40" s="335">
        <f t="shared" ca="1" si="8"/>
        <v>14526.9815453828</v>
      </c>
      <c r="S40" s="335">
        <f t="shared" ca="1" si="8"/>
        <v>16629.230353697152</v>
      </c>
      <c r="T40" s="335">
        <f t="shared" ca="1" si="8"/>
        <v>17458.313065875336</v>
      </c>
      <c r="U40" s="335">
        <f t="shared" ca="1" si="8"/>
        <v>22880.005574785828</v>
      </c>
      <c r="V40" s="335">
        <f t="shared" ca="1" si="8"/>
        <v>35300.396798134956</v>
      </c>
      <c r="W40" s="326"/>
    </row>
    <row r="41" spans="1:23">
      <c r="A41" s="762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26"/>
    </row>
    <row r="42" spans="1:23" ht="17.25" thickTop="1" thickBot="1">
      <c r="A42" s="325"/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</row>
    <row r="43" spans="1:23">
      <c r="A43" s="674"/>
      <c r="B43" s="675"/>
      <c r="C43" s="675"/>
      <c r="D43" s="675"/>
      <c r="E43" s="676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7"/>
      <c r="W43" s="673"/>
    </row>
    <row r="44" spans="1:23">
      <c r="A44" s="678" t="s">
        <v>314</v>
      </c>
      <c r="B44" s="679"/>
      <c r="C44" s="680">
        <f t="shared" ref="C44:V44" ca="1" si="9">C5</f>
        <v>2000</v>
      </c>
      <c r="D44" s="680">
        <f t="shared" ca="1" si="9"/>
        <v>2001</v>
      </c>
      <c r="E44" s="680">
        <f t="shared" ca="1" si="9"/>
        <v>2002</v>
      </c>
      <c r="F44" s="680">
        <f t="shared" ca="1" si="9"/>
        <v>2003</v>
      </c>
      <c r="G44" s="680">
        <f t="shared" ca="1" si="9"/>
        <v>2004</v>
      </c>
      <c r="H44" s="680">
        <f t="shared" ca="1" si="9"/>
        <v>2005</v>
      </c>
      <c r="I44" s="680">
        <f t="shared" ca="1" si="9"/>
        <v>2006</v>
      </c>
      <c r="J44" s="680">
        <f t="shared" ca="1" si="9"/>
        <v>2007</v>
      </c>
      <c r="K44" s="680">
        <f t="shared" ca="1" si="9"/>
        <v>2008</v>
      </c>
      <c r="L44" s="680">
        <f t="shared" ca="1" si="9"/>
        <v>2009</v>
      </c>
      <c r="M44" s="680">
        <f t="shared" ca="1" si="9"/>
        <v>2010</v>
      </c>
      <c r="N44" s="680">
        <f t="shared" ca="1" si="9"/>
        <v>2011</v>
      </c>
      <c r="O44" s="680">
        <f t="shared" ca="1" si="9"/>
        <v>2012</v>
      </c>
      <c r="P44" s="680">
        <f t="shared" ca="1" si="9"/>
        <v>2013</v>
      </c>
      <c r="Q44" s="680">
        <f t="shared" ca="1" si="9"/>
        <v>2014</v>
      </c>
      <c r="R44" s="680">
        <f t="shared" ca="1" si="9"/>
        <v>2015</v>
      </c>
      <c r="S44" s="680">
        <f t="shared" ca="1" si="9"/>
        <v>2016</v>
      </c>
      <c r="T44" s="680">
        <f t="shared" ca="1" si="9"/>
        <v>2017</v>
      </c>
      <c r="U44" s="680">
        <f t="shared" ca="1" si="9"/>
        <v>2018</v>
      </c>
      <c r="V44" s="681">
        <f t="shared" ca="1" si="9"/>
        <v>2019</v>
      </c>
      <c r="W44" s="673"/>
    </row>
    <row r="45" spans="1:23">
      <c r="A45" s="682" t="s">
        <v>315</v>
      </c>
      <c r="B45" s="679"/>
      <c r="C45" s="683">
        <f ca="1">IF(B45&gt;1,B45+1,IF(C49&gt;0,1,0))*0+C6</f>
        <v>1</v>
      </c>
      <c r="D45" s="679">
        <f t="shared" ref="D45:U45" ca="1" si="10">IF(C45&gt;=1,C45+1,IF(D49&gt;0,1,0))</f>
        <v>2</v>
      </c>
      <c r="E45" s="679">
        <f t="shared" ca="1" si="10"/>
        <v>3</v>
      </c>
      <c r="F45" s="679">
        <f t="shared" ca="1" si="10"/>
        <v>4</v>
      </c>
      <c r="G45" s="679">
        <f t="shared" ca="1" si="10"/>
        <v>5</v>
      </c>
      <c r="H45" s="679">
        <f t="shared" ca="1" si="10"/>
        <v>6</v>
      </c>
      <c r="I45" s="679">
        <f t="shared" ca="1" si="10"/>
        <v>7</v>
      </c>
      <c r="J45" s="679">
        <f t="shared" ca="1" si="10"/>
        <v>8</v>
      </c>
      <c r="K45" s="679">
        <f t="shared" ca="1" si="10"/>
        <v>9</v>
      </c>
      <c r="L45" s="679">
        <f t="shared" ca="1" si="10"/>
        <v>10</v>
      </c>
      <c r="M45" s="679">
        <f t="shared" ca="1" si="10"/>
        <v>11</v>
      </c>
      <c r="N45" s="679">
        <f t="shared" ca="1" si="10"/>
        <v>12</v>
      </c>
      <c r="O45" s="679">
        <f t="shared" ca="1" si="10"/>
        <v>13</v>
      </c>
      <c r="P45" s="679">
        <f t="shared" ca="1" si="10"/>
        <v>14</v>
      </c>
      <c r="Q45" s="679">
        <f t="shared" ca="1" si="10"/>
        <v>15</v>
      </c>
      <c r="R45" s="679">
        <f t="shared" ca="1" si="10"/>
        <v>16</v>
      </c>
      <c r="S45" s="679">
        <f t="shared" ca="1" si="10"/>
        <v>17</v>
      </c>
      <c r="T45" s="679">
        <f t="shared" ca="1" si="10"/>
        <v>18</v>
      </c>
      <c r="U45" s="679">
        <f t="shared" ca="1" si="10"/>
        <v>19</v>
      </c>
      <c r="V45" s="681"/>
      <c r="W45" s="673"/>
    </row>
    <row r="46" spans="1:23">
      <c r="A46" s="682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79"/>
      <c r="P46" s="679"/>
      <c r="Q46" s="679"/>
      <c r="R46" s="679"/>
      <c r="S46" s="679"/>
      <c r="T46" s="679"/>
      <c r="U46" s="679"/>
      <c r="V46" s="684"/>
      <c r="W46" s="673"/>
    </row>
    <row r="47" spans="1:23">
      <c r="A47" s="682" t="s">
        <v>316</v>
      </c>
      <c r="B47" s="679"/>
      <c r="C47" s="679"/>
      <c r="D47" s="679"/>
      <c r="E47" s="679"/>
      <c r="F47" s="679"/>
      <c r="G47" s="679"/>
      <c r="H47" s="679"/>
      <c r="I47" s="679"/>
      <c r="J47" s="679"/>
      <c r="K47" s="679"/>
      <c r="L47" s="679"/>
      <c r="M47" s="679"/>
      <c r="N47" s="679"/>
      <c r="O47" s="679"/>
      <c r="P47" s="679"/>
      <c r="Q47" s="679"/>
      <c r="R47" s="679"/>
      <c r="S47" s="679"/>
      <c r="T47" s="679"/>
      <c r="U47" s="679"/>
      <c r="V47" s="684"/>
      <c r="W47" s="673"/>
    </row>
    <row r="48" spans="1:23">
      <c r="A48" s="682" t="s">
        <v>317</v>
      </c>
      <c r="B48" s="679"/>
      <c r="C48" s="685">
        <f ca="1">'ENA Debt'!C34</f>
        <v>0</v>
      </c>
      <c r="D48" s="685">
        <f ca="1">'ENA Debt'!D34</f>
        <v>9426.17</v>
      </c>
      <c r="E48" s="685">
        <f ca="1">'ENA Debt'!E34</f>
        <v>9264.5</v>
      </c>
      <c r="F48" s="685">
        <f ca="1">'ENA Debt'!F34</f>
        <v>9080.43</v>
      </c>
      <c r="G48" s="685">
        <f ca="1">'ENA Debt'!G34</f>
        <v>8853.23</v>
      </c>
      <c r="H48" s="685">
        <f ca="1">'ENA Debt'!H34</f>
        <v>8589.4699999999993</v>
      </c>
      <c r="I48" s="685">
        <f ca="1">'ENA Debt'!I34</f>
        <v>8311.17</v>
      </c>
      <c r="J48" s="685">
        <f ca="1">'ENA Debt'!J34</f>
        <v>7950.41</v>
      </c>
      <c r="K48" s="685">
        <f ca="1">'ENA Debt'!K34</f>
        <v>7572.8</v>
      </c>
      <c r="L48" s="685">
        <f ca="1">'ENA Debt'!L34</f>
        <v>7099.69</v>
      </c>
      <c r="M48" s="685">
        <f ca="1">'ENA Debt'!M34</f>
        <v>6607.8</v>
      </c>
      <c r="N48" s="685">
        <f ca="1">'ENA Debt'!N34</f>
        <v>6009.53</v>
      </c>
      <c r="O48" s="685">
        <f ca="1">'ENA Debt'!O34</f>
        <v>5408.87</v>
      </c>
      <c r="P48" s="685">
        <f ca="1">'ENA Debt'!P34</f>
        <v>4794.62</v>
      </c>
      <c r="Q48" s="685">
        <f ca="1">'ENA Debt'!Q34</f>
        <v>4165.8599999999997</v>
      </c>
      <c r="R48" s="685">
        <f ca="1">'ENA Debt'!R34</f>
        <v>3454.87</v>
      </c>
      <c r="S48" s="685">
        <f ca="1">'ENA Debt'!S34</f>
        <v>2744.23</v>
      </c>
      <c r="T48" s="685">
        <f ca="1">'ENA Debt'!T34</f>
        <v>2035.48</v>
      </c>
      <c r="U48" s="685">
        <f ca="1">'ENA Debt'!U34</f>
        <v>1362.17</v>
      </c>
      <c r="V48" s="685">
        <f ca="1">'ENA Debt'!V34</f>
        <v>889.67</v>
      </c>
      <c r="W48" s="673"/>
    </row>
    <row r="49" spans="1:23">
      <c r="A49" s="686" t="s">
        <v>318</v>
      </c>
      <c r="B49" s="673"/>
      <c r="C49" s="687">
        <f ca="1">'ENA Debt'!C35</f>
        <v>0</v>
      </c>
      <c r="D49" s="687">
        <f ca="1">'ENA Debt'!D35</f>
        <v>1985.8129039801206</v>
      </c>
      <c r="E49" s="687">
        <f ca="1">'ENA Debt'!E35</f>
        <v>2219.8952338536419</v>
      </c>
      <c r="F49" s="687">
        <f ca="1">'ENA Debt'!F35</f>
        <v>2759.370280486768</v>
      </c>
      <c r="G49" s="687">
        <f ca="1">'ENA Debt'!G35</f>
        <v>3296.9510313626406</v>
      </c>
      <c r="H49" s="687">
        <f ca="1">'ENA Debt'!H35</f>
        <v>3296.9510313626406</v>
      </c>
      <c r="I49" s="687">
        <f ca="1">'ENA Debt'!I35</f>
        <v>4509.4421506393901</v>
      </c>
      <c r="J49" s="687">
        <f ca="1">'ENA Debt'!J35</f>
        <v>4509.4421506394037</v>
      </c>
      <c r="K49" s="687">
        <f ca="1">'ENA Debt'!K35</f>
        <v>5913.9738351167398</v>
      </c>
      <c r="L49" s="687">
        <f ca="1">'ENA Debt'!L35</f>
        <v>5913.9738351167398</v>
      </c>
      <c r="M49" s="687">
        <f ca="1">'ENA Debt'!M35</f>
        <v>7478.3265297064227</v>
      </c>
      <c r="N49" s="687">
        <f ca="1">'ENA Debt'!N35</f>
        <v>7478.3265297064354</v>
      </c>
      <c r="O49" s="687">
        <f ca="1">'ENA Debt'!O35</f>
        <v>7678.125</v>
      </c>
      <c r="P49" s="687">
        <f ca="1">'ENA Debt'!P35</f>
        <v>7678.125</v>
      </c>
      <c r="Q49" s="687">
        <f ca="1">'ENA Debt'!Q35</f>
        <v>8887.2672410090072</v>
      </c>
      <c r="R49" s="687">
        <f ca="1">'ENA Debt'!R35</f>
        <v>8887.2672410090217</v>
      </c>
      <c r="S49" s="687">
        <f ca="1">'ENA Debt'!S35</f>
        <v>8859.375</v>
      </c>
      <c r="T49" s="687">
        <f ca="1">'ENA Debt'!T35</f>
        <v>8859.375</v>
      </c>
      <c r="U49" s="687">
        <f ca="1">'ENA Debt'!U35</f>
        <v>5906.25</v>
      </c>
      <c r="V49" s="687">
        <f ca="1">'ENA Debt'!V35</f>
        <v>5906.25</v>
      </c>
      <c r="W49" s="673"/>
    </row>
    <row r="50" spans="1:23">
      <c r="A50" s="686" t="s">
        <v>319</v>
      </c>
      <c r="B50" s="673"/>
      <c r="C50" s="685">
        <f t="shared" ref="C50:V50" ca="1" si="11">C49+C48</f>
        <v>0</v>
      </c>
      <c r="D50" s="685">
        <f t="shared" ca="1" si="11"/>
        <v>11411.982903980121</v>
      </c>
      <c r="E50" s="685">
        <f t="shared" ca="1" si="11"/>
        <v>11484.395233853642</v>
      </c>
      <c r="F50" s="685">
        <f t="shared" ca="1" si="11"/>
        <v>11839.800280486768</v>
      </c>
      <c r="G50" s="685">
        <f t="shared" ca="1" si="11"/>
        <v>12150.181031362641</v>
      </c>
      <c r="H50" s="685">
        <f t="shared" ca="1" si="11"/>
        <v>11886.421031362639</v>
      </c>
      <c r="I50" s="685">
        <f t="shared" ca="1" si="11"/>
        <v>12820.61215063939</v>
      </c>
      <c r="J50" s="685">
        <f t="shared" ca="1" si="11"/>
        <v>12459.852150639403</v>
      </c>
      <c r="K50" s="685">
        <f t="shared" ca="1" si="11"/>
        <v>13486.773835116739</v>
      </c>
      <c r="L50" s="685">
        <f t="shared" ca="1" si="11"/>
        <v>13013.663835116738</v>
      </c>
      <c r="M50" s="685">
        <f t="shared" ca="1" si="11"/>
        <v>14086.126529706424</v>
      </c>
      <c r="N50" s="685">
        <f t="shared" ca="1" si="11"/>
        <v>13487.856529706434</v>
      </c>
      <c r="O50" s="685">
        <f t="shared" ca="1" si="11"/>
        <v>13086.994999999999</v>
      </c>
      <c r="P50" s="685">
        <f t="shared" ca="1" si="11"/>
        <v>12472.744999999999</v>
      </c>
      <c r="Q50" s="685">
        <f t="shared" ca="1" si="11"/>
        <v>13053.127241009006</v>
      </c>
      <c r="R50" s="685">
        <f t="shared" ca="1" si="11"/>
        <v>12342.137241009023</v>
      </c>
      <c r="S50" s="685">
        <f t="shared" ca="1" si="11"/>
        <v>11603.605</v>
      </c>
      <c r="T50" s="685">
        <f t="shared" ca="1" si="11"/>
        <v>10894.855</v>
      </c>
      <c r="U50" s="685">
        <f t="shared" ca="1" si="11"/>
        <v>7268.42</v>
      </c>
      <c r="V50" s="685">
        <f t="shared" ca="1" si="11"/>
        <v>6795.92</v>
      </c>
      <c r="W50" s="673"/>
    </row>
    <row r="51" spans="1:23">
      <c r="A51" s="686"/>
      <c r="B51" s="673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8"/>
      <c r="W51" s="673"/>
    </row>
    <row r="52" spans="1:23">
      <c r="A52" s="686"/>
      <c r="B52" s="673"/>
      <c r="C52" s="687"/>
      <c r="D52" s="687"/>
      <c r="E52" s="687"/>
      <c r="F52" s="687"/>
      <c r="G52" s="687"/>
      <c r="H52" s="687"/>
      <c r="I52" s="687"/>
      <c r="J52" s="687"/>
      <c r="K52" s="687"/>
      <c r="L52" s="687"/>
      <c r="M52" s="687"/>
      <c r="N52" s="687"/>
      <c r="O52" s="687"/>
      <c r="P52" s="687"/>
      <c r="Q52" s="687"/>
      <c r="R52" s="687"/>
      <c r="S52" s="687"/>
      <c r="T52" s="687"/>
      <c r="U52" s="687"/>
      <c r="V52" s="689"/>
      <c r="W52" s="673"/>
    </row>
    <row r="53" spans="1:23">
      <c r="A53" s="678" t="s">
        <v>320</v>
      </c>
      <c r="B53" s="679"/>
      <c r="C53" s="690">
        <f t="shared" ref="C53:R53" ca="1" si="12">SUM(C50:C51)</f>
        <v>0</v>
      </c>
      <c r="D53" s="690">
        <f t="shared" ca="1" si="12"/>
        <v>11411.982903980121</v>
      </c>
      <c r="E53" s="690">
        <f t="shared" ca="1" si="12"/>
        <v>11484.395233853642</v>
      </c>
      <c r="F53" s="690">
        <f t="shared" ca="1" si="12"/>
        <v>11839.800280486768</v>
      </c>
      <c r="G53" s="690">
        <f t="shared" ca="1" si="12"/>
        <v>12150.181031362641</v>
      </c>
      <c r="H53" s="690">
        <f t="shared" ca="1" si="12"/>
        <v>11886.421031362639</v>
      </c>
      <c r="I53" s="690">
        <f t="shared" ca="1" si="12"/>
        <v>12820.61215063939</v>
      </c>
      <c r="J53" s="690">
        <f t="shared" ca="1" si="12"/>
        <v>12459.852150639403</v>
      </c>
      <c r="K53" s="690">
        <f t="shared" ca="1" si="12"/>
        <v>13486.773835116739</v>
      </c>
      <c r="L53" s="690">
        <f t="shared" ca="1" si="12"/>
        <v>13013.663835116738</v>
      </c>
      <c r="M53" s="690">
        <f t="shared" ca="1" si="12"/>
        <v>14086.126529706424</v>
      </c>
      <c r="N53" s="690">
        <f t="shared" ca="1" si="12"/>
        <v>13487.856529706434</v>
      </c>
      <c r="O53" s="690">
        <f t="shared" ca="1" si="12"/>
        <v>13086.994999999999</v>
      </c>
      <c r="P53" s="690">
        <f t="shared" ca="1" si="12"/>
        <v>12472.744999999999</v>
      </c>
      <c r="Q53" s="690">
        <f t="shared" ca="1" si="12"/>
        <v>13053.127241009006</v>
      </c>
      <c r="R53" s="690">
        <f t="shared" ca="1" si="12"/>
        <v>12342.137241009023</v>
      </c>
      <c r="S53" s="690"/>
      <c r="T53" s="690"/>
      <c r="U53" s="690"/>
      <c r="V53" s="691"/>
      <c r="W53" s="673"/>
    </row>
    <row r="54" spans="1:23">
      <c r="A54" s="682"/>
      <c r="B54" s="679"/>
      <c r="C54" s="679"/>
      <c r="D54" s="679"/>
      <c r="E54" s="679"/>
      <c r="F54" s="679"/>
      <c r="G54" s="679"/>
      <c r="H54" s="679"/>
      <c r="I54" s="679"/>
      <c r="J54" s="679"/>
      <c r="K54" s="679"/>
      <c r="L54" s="679"/>
      <c r="M54" s="679"/>
      <c r="N54" s="679"/>
      <c r="O54" s="679"/>
      <c r="P54" s="679"/>
      <c r="Q54" s="679"/>
      <c r="R54" s="679"/>
      <c r="S54" s="679"/>
      <c r="T54" s="679"/>
      <c r="U54" s="679"/>
      <c r="V54" s="684"/>
      <c r="W54" s="673"/>
    </row>
    <row r="55" spans="1:23">
      <c r="A55" s="686" t="s">
        <v>321</v>
      </c>
      <c r="B55" s="692"/>
      <c r="C55" s="673"/>
      <c r="D55" s="673"/>
      <c r="E55" s="673"/>
      <c r="F55" s="693"/>
      <c r="G55" s="693"/>
      <c r="H55" s="693"/>
      <c r="I55" s="693"/>
      <c r="J55" s="693"/>
      <c r="K55" s="693"/>
      <c r="L55" s="693"/>
      <c r="M55" s="693"/>
      <c r="N55" s="693"/>
      <c r="O55" s="693"/>
      <c r="P55" s="693"/>
      <c r="Q55" s="693"/>
      <c r="R55" s="693"/>
      <c r="S55" s="693"/>
      <c r="T55" s="693"/>
      <c r="U55" s="693"/>
      <c r="V55" s="694"/>
      <c r="W55" s="673"/>
    </row>
    <row r="56" spans="1:23">
      <c r="A56" s="686" t="s">
        <v>322</v>
      </c>
      <c r="B56" s="695"/>
      <c r="C56" s="693">
        <f t="shared" ref="C56:R56" ca="1" si="13">IF(C53&gt;1,(C26)/C50,0)</f>
        <v>0</v>
      </c>
      <c r="D56" s="693">
        <f t="shared" ca="1" si="13"/>
        <v>3.4481746508764415</v>
      </c>
      <c r="E56" s="693">
        <f t="shared" ca="1" si="13"/>
        <v>3.3161627980155486</v>
      </c>
      <c r="F56" s="693">
        <f t="shared" ca="1" si="13"/>
        <v>3.3520010803206981</v>
      </c>
      <c r="G56" s="693">
        <f t="shared" ca="1" si="13"/>
        <v>3.3311152015685201</v>
      </c>
      <c r="H56" s="693">
        <f t="shared" ca="1" si="13"/>
        <v>2.6680943253225649</v>
      </c>
      <c r="I56" s="693">
        <f t="shared" ca="1" si="13"/>
        <v>3.0758088625169475</v>
      </c>
      <c r="J56" s="693">
        <f t="shared" ca="1" si="13"/>
        <v>3.7542334982971965</v>
      </c>
      <c r="K56" s="693">
        <f t="shared" ca="1" si="13"/>
        <v>3.5782243779027429</v>
      </c>
      <c r="L56" s="693">
        <f t="shared" ca="1" si="13"/>
        <v>3.5010510331727702</v>
      </c>
      <c r="M56" s="693">
        <f t="shared" ca="1" si="13"/>
        <v>3.352412579086709</v>
      </c>
      <c r="N56" s="693">
        <f t="shared" ca="1" si="13"/>
        <v>3.3186526740932836</v>
      </c>
      <c r="O56" s="693">
        <f t="shared" ca="1" si="13"/>
        <v>3.3690357775154336</v>
      </c>
      <c r="P56" s="693">
        <f t="shared" ca="1" si="13"/>
        <v>3.235107242453465</v>
      </c>
      <c r="Q56" s="693">
        <f t="shared" ca="1" si="13"/>
        <v>3.5404010691322614</v>
      </c>
      <c r="R56" s="693">
        <f t="shared" ca="1" si="13"/>
        <v>4.1373827740026972</v>
      </c>
      <c r="S56" s="693"/>
      <c r="T56" s="693"/>
      <c r="U56" s="693"/>
      <c r="V56" s="694"/>
      <c r="W56" s="673"/>
    </row>
    <row r="57" spans="1:23">
      <c r="A57" s="686" t="s">
        <v>323</v>
      </c>
      <c r="B57" s="696">
        <f ca="1">IF('ASSUM 1'!N26=1,AVERAGE(D56:R56),AVERAGE(C56:Q62))</f>
        <v>3.3985238629518189</v>
      </c>
      <c r="C57" s="693"/>
      <c r="D57" s="693"/>
      <c r="E57" s="693"/>
      <c r="F57" s="693"/>
      <c r="G57" s="693"/>
      <c r="H57" s="693"/>
      <c r="I57" s="693"/>
      <c r="J57" s="693"/>
      <c r="K57" s="693"/>
      <c r="L57" s="693"/>
      <c r="M57" s="693"/>
      <c r="N57" s="693"/>
      <c r="O57" s="693"/>
      <c r="P57" s="693"/>
      <c r="Q57" s="693"/>
      <c r="R57" s="693"/>
      <c r="S57" s="693"/>
      <c r="T57" s="693"/>
      <c r="U57" s="693"/>
      <c r="V57" s="694"/>
      <c r="W57" s="673"/>
    </row>
    <row r="58" spans="1:23">
      <c r="A58" s="686" t="s">
        <v>324</v>
      </c>
      <c r="B58" s="696">
        <f ca="1">IF('ASSUM 1'!N26=1,MIN(D56:R56),MIN(C56:R56))</f>
        <v>2.6680943253225649</v>
      </c>
      <c r="C58" s="693"/>
      <c r="D58" s="693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4"/>
      <c r="W58" s="673"/>
    </row>
    <row r="59" spans="1:23">
      <c r="A59" s="686" t="s">
        <v>325</v>
      </c>
      <c r="B59" s="696"/>
      <c r="C59" s="697">
        <f ca="1">1-SUM($C$49:C49)/('ASSUM 1'!$S$29*1000)</f>
        <v>1</v>
      </c>
      <c r="D59" s="697">
        <f ca="1">1-SUM($C$49:D49)/('ASSUM 1'!$S$29*1000)</f>
        <v>0.97793541217799862</v>
      </c>
      <c r="E59" s="697">
        <f ca="1">1-SUM($C$49:E49)/('ASSUM 1'!$S$29*1000)</f>
        <v>0.95326990957962487</v>
      </c>
      <c r="F59" s="697">
        <f ca="1">1-SUM($C$49:F49)/('ASSUM 1'!$S$29*1000)</f>
        <v>0.92261023979643852</v>
      </c>
      <c r="G59" s="697">
        <f ca="1">1-SUM($C$49:G49)/('ASSUM 1'!$S$29*1000)</f>
        <v>0.88597745055907584</v>
      </c>
      <c r="H59" s="697">
        <f ca="1">1-SUM($C$49:H49)/('ASSUM 1'!$S$29*1000)</f>
        <v>0.84934466132171327</v>
      </c>
      <c r="I59" s="697">
        <f ca="1">1-SUM($C$49:I49)/('ASSUM 1'!$S$29*1000)</f>
        <v>0.79923974853683111</v>
      </c>
      <c r="J59" s="697">
        <f ca="1">1-SUM($C$49:J49)/('ASSUM 1'!$S$29*1000)</f>
        <v>0.74913483575194884</v>
      </c>
      <c r="K59" s="697">
        <f ca="1">1-SUM($C$49:K49)/('ASSUM 1'!$S$29*1000)</f>
        <v>0.68342401536176278</v>
      </c>
      <c r="L59" s="697">
        <f ca="1">1-SUM($C$49:L49)/('ASSUM 1'!$S$29*1000)</f>
        <v>0.61771319497157684</v>
      </c>
      <c r="M59" s="697">
        <f ca="1">1-SUM($C$49:M49)/('ASSUM 1'!$S$29*1000)</f>
        <v>0.53462067797483892</v>
      </c>
      <c r="N59" s="697">
        <f ca="1">1-SUM($C$49:N49)/('ASSUM 1'!$S$29*1000)</f>
        <v>0.45152816097810067</v>
      </c>
      <c r="O59" s="697">
        <f ca="1">1-SUM($C$49:O49)/('ASSUM 1'!$S$29*1000)</f>
        <v>0.36621566097810077</v>
      </c>
      <c r="P59" s="697">
        <f ca="1">1-SUM($C$49:P49)/('ASSUM 1'!$S$29*1000)</f>
        <v>0.28090316097810075</v>
      </c>
      <c r="Q59" s="697">
        <f ca="1">1-SUM($C$49:Q49)/('ASSUM 1'!$S$29*1000)</f>
        <v>0.18215574718911176</v>
      </c>
      <c r="R59" s="697">
        <f ca="1">1-SUM($C$49:R49)/('ASSUM 1'!$S$29*1000)</f>
        <v>8.3408333400122769E-2</v>
      </c>
      <c r="S59" s="697"/>
      <c r="T59" s="693"/>
      <c r="U59" s="693"/>
      <c r="V59" s="694"/>
      <c r="W59" s="673"/>
    </row>
    <row r="60" spans="1:23">
      <c r="A60" s="686"/>
      <c r="B60" s="696"/>
      <c r="C60" s="693"/>
      <c r="D60" s="693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4"/>
      <c r="W60" s="673"/>
    </row>
    <row r="61" spans="1:23">
      <c r="A61" s="686" t="s">
        <v>326</v>
      </c>
      <c r="B61" s="696"/>
      <c r="C61" s="693">
        <f t="shared" ref="C61:Q61" ca="1" si="14">IF(C53&gt;1,(C26)/C53,0)</f>
        <v>0</v>
      </c>
      <c r="D61" s="693">
        <f t="shared" ca="1" si="14"/>
        <v>3.4481746508764415</v>
      </c>
      <c r="E61" s="693">
        <f t="shared" ca="1" si="14"/>
        <v>3.3161627980155486</v>
      </c>
      <c r="F61" s="693">
        <f t="shared" ca="1" si="14"/>
        <v>3.3520010803206981</v>
      </c>
      <c r="G61" s="693">
        <f t="shared" ca="1" si="14"/>
        <v>3.3311152015685201</v>
      </c>
      <c r="H61" s="693">
        <f t="shared" ca="1" si="14"/>
        <v>2.6680943253225649</v>
      </c>
      <c r="I61" s="693">
        <f t="shared" ca="1" si="14"/>
        <v>3.0758088625169475</v>
      </c>
      <c r="J61" s="693">
        <f t="shared" ca="1" si="14"/>
        <v>3.7542334982971965</v>
      </c>
      <c r="K61" s="693">
        <f t="shared" ca="1" si="14"/>
        <v>3.5782243779027429</v>
      </c>
      <c r="L61" s="693">
        <f t="shared" ca="1" si="14"/>
        <v>3.5010510331727702</v>
      </c>
      <c r="M61" s="693">
        <f t="shared" ca="1" si="14"/>
        <v>3.352412579086709</v>
      </c>
      <c r="N61" s="693">
        <f t="shared" ca="1" si="14"/>
        <v>3.3186526740932836</v>
      </c>
      <c r="O61" s="693">
        <f t="shared" ca="1" si="14"/>
        <v>3.3690357775154336</v>
      </c>
      <c r="P61" s="693">
        <f t="shared" ca="1" si="14"/>
        <v>3.235107242453465</v>
      </c>
      <c r="Q61" s="693">
        <f t="shared" ca="1" si="14"/>
        <v>3.5404010691322614</v>
      </c>
      <c r="R61" s="693">
        <f ca="1">IF(R53&gt;1,(R15-R24)/R53,0)</f>
        <v>4.1373827740026972</v>
      </c>
      <c r="S61" s="693"/>
      <c r="T61" s="693"/>
      <c r="U61" s="693"/>
      <c r="V61" s="694"/>
      <c r="W61" s="673"/>
    </row>
    <row r="62" spans="1:23" ht="16.5" thickBot="1">
      <c r="A62" s="698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700"/>
      <c r="W62" s="673"/>
    </row>
    <row r="63" spans="1:23">
      <c r="A63" s="673"/>
      <c r="B63" s="673"/>
      <c r="C63" s="673"/>
      <c r="D63" s="673"/>
      <c r="E63" s="673"/>
      <c r="F63" s="673"/>
      <c r="G63" s="673"/>
      <c r="H63" s="673"/>
      <c r="I63" s="673"/>
      <c r="J63" s="673"/>
      <c r="K63" s="673"/>
      <c r="L63" s="673"/>
      <c r="M63" s="673"/>
      <c r="N63" s="673"/>
      <c r="O63" s="673"/>
      <c r="P63" s="673"/>
      <c r="Q63" s="673"/>
      <c r="R63" s="673"/>
      <c r="S63" s="673"/>
      <c r="T63" s="673"/>
      <c r="U63" s="673"/>
      <c r="V63" s="673"/>
    </row>
    <row r="64" spans="1:23">
      <c r="A64" s="318"/>
      <c r="B64" s="318"/>
      <c r="C64" s="318">
        <v>0.5</v>
      </c>
      <c r="D64" s="318">
        <v>1.5</v>
      </c>
      <c r="E64" s="318">
        <v>2.5</v>
      </c>
      <c r="F64" s="318">
        <v>3.5</v>
      </c>
      <c r="G64" s="318">
        <v>4.5</v>
      </c>
      <c r="H64" s="318">
        <v>5.5</v>
      </c>
      <c r="I64" s="318">
        <v>6.5</v>
      </c>
      <c r="J64" s="318">
        <v>7.5</v>
      </c>
      <c r="K64" s="318">
        <v>8.5</v>
      </c>
      <c r="L64" s="318">
        <v>9.5</v>
      </c>
      <c r="M64" s="318">
        <v>10.5</v>
      </c>
      <c r="N64" s="318">
        <v>11.5</v>
      </c>
      <c r="O64" s="318">
        <v>12.5</v>
      </c>
      <c r="P64" s="318">
        <v>13.5</v>
      </c>
      <c r="Q64" s="318">
        <v>14.5</v>
      </c>
      <c r="R64" s="318">
        <v>15.5</v>
      </c>
      <c r="S64" s="318">
        <v>16.5</v>
      </c>
      <c r="T64" s="318">
        <v>17.5</v>
      </c>
      <c r="U64" s="318">
        <v>18.5</v>
      </c>
      <c r="V64" s="318">
        <v>19.5</v>
      </c>
    </row>
    <row r="65" spans="3:22">
      <c r="C65" s="761">
        <f t="shared" ref="C65:V65" ca="1" si="15">C64*C49</f>
        <v>0</v>
      </c>
      <c r="D65" s="761">
        <f t="shared" ca="1" si="15"/>
        <v>2978.7193559701809</v>
      </c>
      <c r="E65" s="761">
        <f t="shared" ca="1" si="15"/>
        <v>5549.7380846341048</v>
      </c>
      <c r="F65" s="761">
        <f t="shared" ca="1" si="15"/>
        <v>9657.7959817036881</v>
      </c>
      <c r="G65" s="761">
        <f t="shared" ca="1" si="15"/>
        <v>14836.279641131883</v>
      </c>
      <c r="H65" s="761">
        <f t="shared" ca="1" si="15"/>
        <v>18133.230672494523</v>
      </c>
      <c r="I65" s="761">
        <f t="shared" ca="1" si="15"/>
        <v>29311.373979156037</v>
      </c>
      <c r="J65" s="761">
        <f t="shared" ca="1" si="15"/>
        <v>33820.81612979553</v>
      </c>
      <c r="K65" s="761">
        <f t="shared" ca="1" si="15"/>
        <v>50268.777598492292</v>
      </c>
      <c r="L65" s="761">
        <f t="shared" ca="1" si="15"/>
        <v>56182.751433609024</v>
      </c>
      <c r="M65" s="761">
        <f t="shared" ca="1" si="15"/>
        <v>78522.428561917433</v>
      </c>
      <c r="N65" s="761">
        <f t="shared" ca="1" si="15"/>
        <v>86000.755091624014</v>
      </c>
      <c r="O65" s="761">
        <f t="shared" ca="1" si="15"/>
        <v>95976.5625</v>
      </c>
      <c r="P65" s="761">
        <f t="shared" ca="1" si="15"/>
        <v>103654.6875</v>
      </c>
      <c r="Q65" s="761">
        <f t="shared" ca="1" si="15"/>
        <v>128865.37499463061</v>
      </c>
      <c r="R65" s="761">
        <f t="shared" ca="1" si="15"/>
        <v>137752.64223563983</v>
      </c>
      <c r="S65" s="761">
        <f t="shared" ca="1" si="15"/>
        <v>146179.6875</v>
      </c>
      <c r="T65" s="761">
        <f t="shared" ca="1" si="15"/>
        <v>155039.0625</v>
      </c>
      <c r="U65" s="761">
        <f t="shared" ca="1" si="15"/>
        <v>109265.625</v>
      </c>
      <c r="V65" s="761">
        <f t="shared" ca="1" si="15"/>
        <v>115171.875</v>
      </c>
    </row>
    <row r="66" spans="3:22">
      <c r="C66" s="330">
        <f ca="1">SUM(C65:V65)/'ENA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10055.838463019441</v>
      </c>
      <c r="D9" s="557">
        <f ca="1">'IS-ENA'!D29</f>
        <v>18506.39391559513</v>
      </c>
      <c r="E9" s="557">
        <f ca="1">'IS-ENA'!E29</f>
        <v>17523.961259599364</v>
      </c>
      <c r="F9" s="557">
        <f ca="1">'IS-ENA'!F29</f>
        <v>18960.418396909074</v>
      </c>
      <c r="G9" s="557">
        <f ca="1">'IS-ENA'!G29</f>
        <v>19670.925717212693</v>
      </c>
      <c r="H9" s="557">
        <f ca="1">'IS-ENA'!H29</f>
        <v>11511.495507420563</v>
      </c>
      <c r="I9" s="557">
        <f ca="1">'IS-ENA'!I29</f>
        <v>18756.01433146928</v>
      </c>
      <c r="J9" s="557">
        <f ca="1">'IS-ENA'!J29</f>
        <v>26902.354929837933</v>
      </c>
      <c r="K9" s="557">
        <f ca="1">'IS-ENA'!K29</f>
        <v>27782.205446925578</v>
      </c>
      <c r="L9" s="557">
        <f ca="1">'IS-ENA'!L29</f>
        <v>26109.091262108508</v>
      </c>
      <c r="M9" s="557">
        <f ca="1">'IS-ENA'!M29</f>
        <v>27296.728868996892</v>
      </c>
      <c r="N9" s="557">
        <f ca="1">'IS-ENA'!N29</f>
        <v>26121.164680675058</v>
      </c>
      <c r="O9" s="557">
        <f ca="1">'IS-ENA'!O29</f>
        <v>25582.531373722348</v>
      </c>
      <c r="P9" s="557">
        <f ca="1">'IS-ENA'!P29</f>
        <v>23117.529160276299</v>
      </c>
      <c r="Q9" s="557">
        <f ca="1">'IS-ENA'!Q29</f>
        <v>29187.442344771658</v>
      </c>
      <c r="R9" s="557">
        <f ca="1">'IS-ENA'!R29</f>
        <v>35555.325963351876</v>
      </c>
      <c r="S9" s="557">
        <f ca="1">'IS-ENA'!S29</f>
        <v>41829.660304694822</v>
      </c>
      <c r="T9" s="557">
        <f ca="1">'IS-ENA'!T29</f>
        <v>43147.502218510686</v>
      </c>
      <c r="U9" s="557">
        <f ca="1">'IS-ENA'!U29</f>
        <v>47211.470944122899</v>
      </c>
      <c r="V9" s="557">
        <f ca="1">'IS-ENA'!V29</f>
        <v>39041.084308702535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227.58122213476781</v>
      </c>
      <c r="D13" s="557">
        <f t="shared" ca="1" si="0"/>
        <v>1856.152150585076</v>
      </c>
      <c r="E13" s="557">
        <f t="shared" ca="1" si="0"/>
        <v>2313.9162274602222</v>
      </c>
      <c r="F13" s="557">
        <f t="shared" ca="1" si="0"/>
        <v>5038.9704415491724</v>
      </c>
      <c r="G13" s="557">
        <f t="shared" ca="1" si="0"/>
        <v>6916.7951137586897</v>
      </c>
      <c r="H13" s="557">
        <f t="shared" ca="1" si="0"/>
        <v>2066.8369329091965</v>
      </c>
      <c r="I13" s="557">
        <f t="shared" ca="1" si="0"/>
        <v>9811.6346220604464</v>
      </c>
      <c r="J13" s="557">
        <f t="shared" ca="1" si="0"/>
        <v>17957.9752204291</v>
      </c>
      <c r="K13" s="557">
        <f t="shared" ca="1" si="0"/>
        <v>18822.665771907577</v>
      </c>
      <c r="L13" s="557">
        <f t="shared" ca="1" si="0"/>
        <v>17164.711552699675</v>
      </c>
      <c r="M13" s="557">
        <f t="shared" ca="1" si="0"/>
        <v>18337.189193978891</v>
      </c>
      <c r="N13" s="557">
        <f t="shared" ca="1" si="0"/>
        <v>17176.784971266225</v>
      </c>
      <c r="O13" s="557">
        <f t="shared" ca="1" si="0"/>
        <v>16622.991698704347</v>
      </c>
      <c r="P13" s="557">
        <f t="shared" ca="1" si="0"/>
        <v>14173.149450867466</v>
      </c>
      <c r="Q13" s="557">
        <f t="shared" ca="1" si="0"/>
        <v>20227.902669753657</v>
      </c>
      <c r="R13" s="557">
        <f t="shared" ca="1" si="0"/>
        <v>31083.136108647457</v>
      </c>
      <c r="S13" s="557">
        <f t="shared" ca="1" si="0"/>
        <v>41829.660304694822</v>
      </c>
      <c r="T13" s="557">
        <f t="shared" ca="1" si="0"/>
        <v>43147.502218510686</v>
      </c>
      <c r="U13" s="557">
        <f t="shared" ca="1" si="0"/>
        <v>47211.470944122899</v>
      </c>
      <c r="V13" s="557">
        <f t="shared" ca="1" si="0"/>
        <v>39041.084308702535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111.36912903510456</v>
      </c>
      <c r="E14" s="559">
        <f ca="1">IF(E5='ASSUM 1'!$M$39,+CSHFLO!E13*'ASSUM 1'!$N$39,E13*'ASSUM 1'!$N$40)</f>
        <v>138.83497364761334</v>
      </c>
      <c r="F14" s="559">
        <f ca="1">IF(F5='ASSUM 1'!$M$39,+CSHFLO!F13*'ASSUM 1'!$N$39,F13*'ASSUM 1'!$N$40)</f>
        <v>302.33822649295035</v>
      </c>
      <c r="G14" s="559">
        <f ca="1">IF(G5='ASSUM 1'!$M$39,+CSHFLO!G13*'ASSUM 1'!$N$39,G13*'ASSUM 1'!$N$40)</f>
        <v>415.00770682552138</v>
      </c>
      <c r="H14" s="559">
        <f ca="1">IF(H5='ASSUM 1'!$M$39,+CSHFLO!H13*'ASSUM 1'!$N$39,H13*'ASSUM 1'!$N$40)</f>
        <v>124.01021597455178</v>
      </c>
      <c r="I14" s="559">
        <f ca="1">IF(I5='ASSUM 1'!$M$39,+CSHFLO!I13*'ASSUM 1'!$N$39,I13*'ASSUM 1'!$N$40)</f>
        <v>588.69807732362676</v>
      </c>
      <c r="J14" s="559">
        <f ca="1">IF(J5='ASSUM 1'!$M$39,+CSHFLO!J13*'ASSUM 1'!$N$39,J13*'ASSUM 1'!$N$40)</f>
        <v>1077.4785132257459</v>
      </c>
      <c r="K14" s="559">
        <f ca="1">IF(K5='ASSUM 1'!$M$39,+CSHFLO!K13*'ASSUM 1'!$N$39,K13*'ASSUM 1'!$N$40)</f>
        <v>1129.3599463144546</v>
      </c>
      <c r="L14" s="559">
        <f ca="1">IF(L5='ASSUM 1'!$M$39,+CSHFLO!L13*'ASSUM 1'!$N$39,L13*'ASSUM 1'!$N$40)</f>
        <v>1029.8826931619806</v>
      </c>
      <c r="M14" s="559">
        <f ca="1">IF(M5='ASSUM 1'!$M$39,+CSHFLO!M13*'ASSUM 1'!$N$39,M13*'ASSUM 1'!$N$40)</f>
        <v>1100.2313516387335</v>
      </c>
      <c r="N14" s="559">
        <f ca="1">IF(N5='ASSUM 1'!$M$39,+CSHFLO!N13*'ASSUM 1'!$N$39,N13*'ASSUM 1'!$N$40)</f>
        <v>1030.6070982759734</v>
      </c>
      <c r="O14" s="559">
        <f ca="1">IF(O5='ASSUM 1'!$M$39,+CSHFLO!O13*'ASSUM 1'!$N$39,O13*'ASSUM 1'!$N$40)</f>
        <v>997.37950192226083</v>
      </c>
      <c r="P14" s="559">
        <f ca="1">IF(P5='ASSUM 1'!$M$39,+CSHFLO!P13*'ASSUM 1'!$N$39,P13*'ASSUM 1'!$N$40)</f>
        <v>850.38896705204797</v>
      </c>
      <c r="Q14" s="559">
        <f ca="1">IF(Q5='ASSUM 1'!$M$39,+CSHFLO!Q13*'ASSUM 1'!$N$39,Q13*'ASSUM 1'!$N$40)</f>
        <v>1213.6741601852193</v>
      </c>
      <c r="R14" s="559">
        <f ca="1">IF(R5='ASSUM 1'!$M$39,+CSHFLO!R13*'ASSUM 1'!$N$39,R13*'ASSUM 1'!$N$40)</f>
        <v>1864.9881665188473</v>
      </c>
      <c r="S14" s="559">
        <f ca="1">IF(S5='ASSUM 1'!$M$39,+CSHFLO!S13*'ASSUM 1'!$N$39,S13*'ASSUM 1'!$N$40)</f>
        <v>2509.7796182816892</v>
      </c>
      <c r="T14" s="559">
        <f ca="1">IF(T5='ASSUM 1'!$M$39,+CSHFLO!T13*'ASSUM 1'!$N$39,T13*'ASSUM 1'!$N$40)</f>
        <v>2588.8501331106413</v>
      </c>
      <c r="U14" s="559">
        <f ca="1">IF(U5='ASSUM 1'!$M$39,+CSHFLO!U13*'ASSUM 1'!$N$39,U13*'ASSUM 1'!$N$40)</f>
        <v>2832.6882566473737</v>
      </c>
      <c r="V14" s="559">
        <f ca="1">IF(V5='ASSUM 1'!$M$39,+CSHFLO!V13*'ASSUM 1'!$N$39,V13*'ASSUM 1'!$N$40)</f>
        <v>2342.465058522152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-97.932010517621279</v>
      </c>
      <c r="D15" s="557">
        <f t="shared" ca="1" si="1"/>
        <v>1744.7830215499714</v>
      </c>
      <c r="E15" s="557">
        <f t="shared" ca="1" si="1"/>
        <v>2175.0812538126088</v>
      </c>
      <c r="F15" s="557">
        <f t="shared" ca="1" si="1"/>
        <v>4736.6322150562219</v>
      </c>
      <c r="G15" s="557">
        <f t="shared" ca="1" si="1"/>
        <v>6501.7874069331683</v>
      </c>
      <c r="H15" s="557">
        <f t="shared" ca="1" si="1"/>
        <v>1942.8267169346448</v>
      </c>
      <c r="I15" s="557">
        <f t="shared" ca="1" si="1"/>
        <v>9222.93654473682</v>
      </c>
      <c r="J15" s="557">
        <f t="shared" ca="1" si="1"/>
        <v>16880.496707203354</v>
      </c>
      <c r="K15" s="557">
        <f t="shared" ca="1" si="1"/>
        <v>17693.305825593125</v>
      </c>
      <c r="L15" s="557">
        <f t="shared" ca="1" si="1"/>
        <v>16134.828859537694</v>
      </c>
      <c r="M15" s="557">
        <f t="shared" ca="1" si="1"/>
        <v>17236.957842340158</v>
      </c>
      <c r="N15" s="557">
        <f t="shared" ca="1" si="1"/>
        <v>16146.177872990251</v>
      </c>
      <c r="O15" s="557">
        <f t="shared" ca="1" si="1"/>
        <v>15625.612196782085</v>
      </c>
      <c r="P15" s="557">
        <f t="shared" ca="1" si="1"/>
        <v>13322.760483815418</v>
      </c>
      <c r="Q15" s="557">
        <f t="shared" ca="1" si="1"/>
        <v>19014.228509568438</v>
      </c>
      <c r="R15" s="557">
        <f t="shared" ca="1" si="1"/>
        <v>29218.147942128609</v>
      </c>
      <c r="S15" s="557">
        <f t="shared" ca="1" si="1"/>
        <v>39319.880686413133</v>
      </c>
      <c r="T15" s="557">
        <f t="shared" ca="1" si="1"/>
        <v>40558.652085400048</v>
      </c>
      <c r="U15" s="557">
        <f t="shared" ca="1" si="1"/>
        <v>44378.782687475526</v>
      </c>
      <c r="V15" s="557">
        <f t="shared" ca="1" si="1"/>
        <v>36698.619250180382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97.932010517621279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97.932010517621279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-97.932010517621279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97.932010517621279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1646.85101103235</v>
      </c>
      <c r="E23" s="562">
        <f t="shared" ca="1" si="6"/>
        <v>2175.0812538126088</v>
      </c>
      <c r="F23" s="562">
        <f t="shared" ca="1" si="6"/>
        <v>4736.6322150562219</v>
      </c>
      <c r="G23" s="562">
        <f t="shared" ca="1" si="6"/>
        <v>6501.7874069331683</v>
      </c>
      <c r="H23" s="562">
        <f t="shared" ca="1" si="6"/>
        <v>1942.8267169346448</v>
      </c>
      <c r="I23" s="562">
        <f t="shared" ca="1" si="6"/>
        <v>9222.93654473682</v>
      </c>
      <c r="J23" s="562">
        <f t="shared" ca="1" si="6"/>
        <v>16880.496707203354</v>
      </c>
      <c r="K23" s="562">
        <f t="shared" ca="1" si="6"/>
        <v>17693.305825593125</v>
      </c>
      <c r="L23" s="562">
        <f t="shared" ca="1" si="6"/>
        <v>16134.828859537694</v>
      </c>
      <c r="M23" s="562">
        <f t="shared" ca="1" si="6"/>
        <v>17236.957842340158</v>
      </c>
      <c r="N23" s="562">
        <f t="shared" ca="1" si="6"/>
        <v>16146.177872990251</v>
      </c>
      <c r="O23" s="562">
        <f t="shared" ca="1" si="6"/>
        <v>15625.612196782085</v>
      </c>
      <c r="P23" s="562">
        <f t="shared" ca="1" si="6"/>
        <v>13322.760483815418</v>
      </c>
      <c r="Q23" s="562">
        <f t="shared" ca="1" si="6"/>
        <v>19014.228509568438</v>
      </c>
      <c r="R23" s="562">
        <f t="shared" ca="1" si="6"/>
        <v>29218.147942128609</v>
      </c>
      <c r="S23" s="562">
        <f t="shared" ca="1" si="6"/>
        <v>39319.880686413133</v>
      </c>
      <c r="T23" s="562">
        <f t="shared" ca="1" si="6"/>
        <v>40558.652085400048</v>
      </c>
      <c r="U23" s="562">
        <f t="shared" ca="1" si="6"/>
        <v>44378.782687475526</v>
      </c>
      <c r="V23" s="562">
        <f t="shared" ca="1" si="6"/>
        <v>36698.619250180382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1646.85101103235</v>
      </c>
      <c r="E28" s="565">
        <f t="shared" ca="1" si="7"/>
        <v>2175.0812538126088</v>
      </c>
      <c r="F28" s="565">
        <f t="shared" ca="1" si="7"/>
        <v>4736.6322150562219</v>
      </c>
      <c r="G28" s="565">
        <f t="shared" ca="1" si="7"/>
        <v>6501.7874069331683</v>
      </c>
      <c r="H28" s="565">
        <f t="shared" ca="1" si="7"/>
        <v>1942.8267169346448</v>
      </c>
      <c r="I28" s="565">
        <f t="shared" ca="1" si="7"/>
        <v>9222.93654473682</v>
      </c>
      <c r="J28" s="565">
        <f t="shared" ca="1" si="7"/>
        <v>16880.496707203354</v>
      </c>
      <c r="K28" s="565">
        <f t="shared" ca="1" si="7"/>
        <v>17693.305825593125</v>
      </c>
      <c r="L28" s="565">
        <f t="shared" ca="1" si="7"/>
        <v>16134.828859537694</v>
      </c>
      <c r="M28" s="565">
        <f t="shared" ca="1" si="7"/>
        <v>17236.957842340158</v>
      </c>
      <c r="N28" s="565">
        <f t="shared" ca="1" si="7"/>
        <v>16146.177872990251</v>
      </c>
      <c r="O28" s="565">
        <f t="shared" ca="1" si="7"/>
        <v>15625.612196782085</v>
      </c>
      <c r="P28" s="565">
        <f t="shared" ca="1" si="7"/>
        <v>13322.760483815418</v>
      </c>
      <c r="Q28" s="565">
        <f t="shared" ca="1" si="7"/>
        <v>19014.228509568438</v>
      </c>
      <c r="R28" s="565">
        <f t="shared" ca="1" si="7"/>
        <v>29218.147942128609</v>
      </c>
      <c r="S28" s="565">
        <f t="shared" ca="1" si="7"/>
        <v>39319.880686413133</v>
      </c>
      <c r="T28" s="565">
        <f t="shared" ca="1" si="7"/>
        <v>40558.652085400048</v>
      </c>
      <c r="U28" s="565">
        <f t="shared" ca="1" si="7"/>
        <v>44378.782687475526</v>
      </c>
      <c r="V28" s="565">
        <f t="shared" ca="1" si="7"/>
        <v>36698.619250180382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576.39785386132246</v>
      </c>
      <c r="E30" s="562">
        <f t="shared" ca="1" si="8"/>
        <v>761.27843883441301</v>
      </c>
      <c r="F30" s="562">
        <f t="shared" ca="1" si="8"/>
        <v>1657.8212752696775</v>
      </c>
      <c r="G30" s="562">
        <f t="shared" ca="1" si="8"/>
        <v>2275.6255924266088</v>
      </c>
      <c r="H30" s="562">
        <f t="shared" ca="1" si="8"/>
        <v>679.98935092712566</v>
      </c>
      <c r="I30" s="562">
        <f t="shared" ca="1" si="8"/>
        <v>3228.0277906578867</v>
      </c>
      <c r="J30" s="562">
        <f t="shared" ca="1" si="8"/>
        <v>5908.1738475211732</v>
      </c>
      <c r="K30" s="562">
        <f t="shared" ca="1" si="8"/>
        <v>6192.6570389575936</v>
      </c>
      <c r="L30" s="562">
        <f t="shared" ca="1" si="8"/>
        <v>5647.1901008381928</v>
      </c>
      <c r="M30" s="562">
        <f t="shared" ca="1" si="8"/>
        <v>6032.9352448190548</v>
      </c>
      <c r="N30" s="562">
        <f t="shared" ca="1" si="8"/>
        <v>5651.1622555465874</v>
      </c>
      <c r="O30" s="562">
        <f t="shared" ca="1" si="8"/>
        <v>5468.9642688737295</v>
      </c>
      <c r="P30" s="562">
        <f t="shared" ca="1" si="8"/>
        <v>4662.9661693353964</v>
      </c>
      <c r="Q30" s="562">
        <f t="shared" ca="1" si="8"/>
        <v>6654.9799783489534</v>
      </c>
      <c r="R30" s="562">
        <f t="shared" ca="1" si="8"/>
        <v>10226.351779745013</v>
      </c>
      <c r="S30" s="562">
        <f t="shared" ca="1" si="8"/>
        <v>13761.958240244596</v>
      </c>
      <c r="T30" s="562">
        <f t="shared" ca="1" si="8"/>
        <v>14195.528229890017</v>
      </c>
      <c r="U30" s="562">
        <f t="shared" ca="1" si="8"/>
        <v>15532.573940616434</v>
      </c>
      <c r="V30" s="562">
        <f t="shared" ca="1" si="8"/>
        <v>12844.516737563134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576.39785386132246</v>
      </c>
      <c r="E33" s="562">
        <f t="shared" ca="1" si="9"/>
        <v>761.27843883441301</v>
      </c>
      <c r="F33" s="562">
        <f t="shared" ca="1" si="9"/>
        <v>1657.8212752696775</v>
      </c>
      <c r="G33" s="562">
        <f t="shared" ca="1" si="9"/>
        <v>2275.6255924266088</v>
      </c>
      <c r="H33" s="562">
        <f t="shared" ca="1" si="9"/>
        <v>679.98935092712566</v>
      </c>
      <c r="I33" s="562">
        <f t="shared" ca="1" si="9"/>
        <v>3228.0277906578867</v>
      </c>
      <c r="J33" s="562">
        <f t="shared" ca="1" si="9"/>
        <v>5908.1738475211732</v>
      </c>
      <c r="K33" s="562">
        <f t="shared" ca="1" si="9"/>
        <v>6192.6570389575936</v>
      </c>
      <c r="L33" s="562">
        <f t="shared" ca="1" si="9"/>
        <v>5647.1901008381928</v>
      </c>
      <c r="M33" s="562">
        <f t="shared" ca="1" si="9"/>
        <v>6032.9352448190548</v>
      </c>
      <c r="N33" s="562">
        <f t="shared" ca="1" si="9"/>
        <v>5651.1622555465874</v>
      </c>
      <c r="O33" s="562">
        <f t="shared" ca="1" si="9"/>
        <v>5468.9642688737295</v>
      </c>
      <c r="P33" s="562">
        <f t="shared" ca="1" si="9"/>
        <v>4662.9661693353964</v>
      </c>
      <c r="Q33" s="562">
        <f t="shared" ca="1" si="9"/>
        <v>6654.9799783489534</v>
      </c>
      <c r="R33" s="562">
        <f t="shared" ca="1" si="9"/>
        <v>10226.351779745013</v>
      </c>
      <c r="S33" s="562">
        <f t="shared" ca="1" si="9"/>
        <v>13761.958240244596</v>
      </c>
      <c r="T33" s="562">
        <f t="shared" ca="1" si="9"/>
        <v>14195.528229890017</v>
      </c>
      <c r="U33" s="562">
        <f t="shared" ca="1" si="9"/>
        <v>15532.573940616434</v>
      </c>
      <c r="V33" s="562">
        <f t="shared" ca="1" si="9"/>
        <v>12844.516737563134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opLeftCell="A11" zoomScaleNormal="100" workbookViewId="0">
      <selection activeCell="C20" sqref="C20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3" ht="23.25">
      <c r="A1" s="336" t="s">
        <v>0</v>
      </c>
      <c r="B1" s="337"/>
      <c r="C1" s="337"/>
      <c r="D1" s="337"/>
    </row>
    <row r="2" spans="1:23">
      <c r="A2" s="339" t="s">
        <v>408</v>
      </c>
      <c r="B2" s="340"/>
      <c r="C2" s="341"/>
      <c r="D2" s="337"/>
    </row>
    <row r="3" spans="1:2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2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2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2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23">
      <c r="A8" s="337"/>
      <c r="B8" s="337"/>
      <c r="C8" s="337"/>
      <c r="D8" s="337"/>
    </row>
    <row r="9" spans="1:23">
      <c r="A9" s="339" t="s">
        <v>393</v>
      </c>
      <c r="B9" s="346"/>
      <c r="C9" s="347"/>
      <c r="D9" s="347"/>
      <c r="E9" s="348"/>
    </row>
    <row r="10" spans="1:23">
      <c r="A10" s="349" t="s">
        <v>30</v>
      </c>
      <c r="B10" s="345" t="s">
        <v>411</v>
      </c>
      <c r="C10" s="337">
        <f ca="1">ROUND(B11-SUM(C35:S35),0)</f>
        <v>26772</v>
      </c>
      <c r="D10" s="350" t="s">
        <v>330</v>
      </c>
      <c r="E10" s="348"/>
    </row>
    <row r="11" spans="1:23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23">
      <c r="A12" s="349" t="s">
        <v>396</v>
      </c>
      <c r="B12" s="352">
        <f>'ENA Assumptions'!B3</f>
        <v>0.08</v>
      </c>
      <c r="C12" s="337" t="s">
        <v>76</v>
      </c>
      <c r="D12" s="337"/>
      <c r="E12" s="348"/>
    </row>
    <row r="13" spans="1:23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2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3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23" ht="16.5" thickBot="1">
      <c r="A16" s="347"/>
      <c r="B16" s="354"/>
      <c r="C16" s="347"/>
      <c r="D16" s="347"/>
    </row>
    <row r="17" spans="1:24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24">
      <c r="A18" s="359"/>
      <c r="C18" s="351"/>
      <c r="D18" s="351"/>
      <c r="X18" s="767"/>
    </row>
    <row r="19" spans="1:24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24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116139.18709601989</v>
      </c>
      <c r="F20" s="351">
        <f t="shared" ca="1" si="1"/>
        <v>113919.29186216624</v>
      </c>
      <c r="G20" s="351">
        <f t="shared" ca="1" si="1"/>
        <v>111159.92158167947</v>
      </c>
      <c r="H20" s="351">
        <f t="shared" ca="1" si="1"/>
        <v>107862.97055031684</v>
      </c>
      <c r="I20" s="351">
        <f t="shared" ca="1" si="1"/>
        <v>104566.0195189542</v>
      </c>
      <c r="J20" s="351">
        <f t="shared" ca="1" si="1"/>
        <v>100056.57736831481</v>
      </c>
      <c r="K20" s="351">
        <f t="shared" ca="1" si="1"/>
        <v>95547.135217675401</v>
      </c>
      <c r="L20" s="351">
        <f t="shared" ca="1" si="1"/>
        <v>89633.161382558668</v>
      </c>
      <c r="M20" s="351">
        <f t="shared" ca="1" si="1"/>
        <v>83719.187547441936</v>
      </c>
      <c r="N20" s="351">
        <f t="shared" ca="1" si="1"/>
        <v>76240.861017735515</v>
      </c>
      <c r="O20" s="351">
        <f t="shared" ca="1" si="1"/>
        <v>68762.53448802908</v>
      </c>
      <c r="P20" s="351">
        <f t="shared" ca="1" si="1"/>
        <v>61084.40948802908</v>
      </c>
      <c r="Q20" s="351">
        <f t="shared" ca="1" si="1"/>
        <v>53406.28448802908</v>
      </c>
      <c r="R20" s="351">
        <f t="shared" ca="1" si="1"/>
        <v>44519.01724702007</v>
      </c>
      <c r="S20" s="351">
        <f t="shared" ca="1" si="1"/>
        <v>35631.750006011047</v>
      </c>
      <c r="T20" s="351">
        <f ca="1">S31</f>
        <v>26772.375006011047</v>
      </c>
      <c r="U20" s="351">
        <f ca="1">T31</f>
        <v>17913.000006011047</v>
      </c>
      <c r="V20" s="351">
        <f ca="1">U31</f>
        <v>12006.750006011047</v>
      </c>
      <c r="W20" s="351">
        <f ca="1">V31</f>
        <v>6100.5000060110469</v>
      </c>
      <c r="X20" s="767"/>
    </row>
    <row r="21" spans="1:24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595.74387119403627</v>
      </c>
      <c r="E21" s="768">
        <f ca="1">VLOOKUP(E5,'ENA Assumptions'!$A$11:$E$31,3)*VLOOKUP(E5,'ENA Assumptions'!$A$11:$E$31,5)*$C$20*IF(E19=0,0,1)</f>
        <v>665.9685701560926</v>
      </c>
      <c r="F21" s="768">
        <f ca="1">VLOOKUP(F5,'ENA Assumptions'!$A$11:$E$31,3)*VLOOKUP(F5,'ENA Assumptions'!$A$11:$E$31,5)*$C$20*IF(F19=0,0,1)</f>
        <v>827.81108414603057</v>
      </c>
      <c r="G21" s="768">
        <f ca="1">VLOOKUP(G5,'ENA Assumptions'!$A$11:$E$31,3)*VLOOKUP(G5,'ENA Assumptions'!$A$11:$E$31,5)*$C$20*IF(G19=0,0,1)</f>
        <v>989.08530940879223</v>
      </c>
      <c r="H21" s="768">
        <f ca="1">VLOOKUP(H5,'ENA Assumptions'!$A$11:$E$31,3)*VLOOKUP(H5,'ENA Assumptions'!$A$11:$E$31,5)*$C$20*IF(H19=0,0,1)</f>
        <v>989.08530940879223</v>
      </c>
      <c r="I21" s="768">
        <f ca="1">VLOOKUP(I5,'ENA Assumptions'!$A$11:$E$31,3)*VLOOKUP(I5,'ENA Assumptions'!$A$11:$E$31,5)*$C$20*IF(I19=0,0,1)</f>
        <v>1352.8326451918174</v>
      </c>
      <c r="J21" s="768">
        <f ca="1">VLOOKUP(J5,'ENA Assumptions'!$A$11:$E$31,3)*VLOOKUP(J5,'ENA Assumptions'!$A$11:$E$31,5)*$C$20*IF(J19=0,0,1)</f>
        <v>1352.8326451918213</v>
      </c>
      <c r="K21" s="768">
        <f ca="1">VLOOKUP(K5,'ENA Assumptions'!$A$11:$E$31,3)*VLOOKUP(K5,'ENA Assumptions'!$A$11:$E$31,5)*$C$20*IF(K19=0,0,1)</f>
        <v>1774.1921505350224</v>
      </c>
      <c r="L21" s="768">
        <f ca="1">VLOOKUP(L5,'ENA Assumptions'!$A$11:$E$31,3)*VLOOKUP(L5,'ENA Assumptions'!$A$11:$E$31,5)*$C$20*IF(L19=0,0,1)</f>
        <v>1774.1921505350224</v>
      </c>
      <c r="M21" s="768">
        <f ca="1">VLOOKUP(M5,'ENA Assumptions'!$A$11:$E$31,3)*VLOOKUP(M5,'ENA Assumptions'!$A$11:$E$31,5)*$C$20*IF(M19=0,0,1)</f>
        <v>2243.4979589119271</v>
      </c>
      <c r="N21" s="768">
        <f ca="1">VLOOKUP(N5,'ENA Assumptions'!$A$11:$E$31,3)*VLOOKUP(N5,'ENA Assumptions'!$A$11:$E$31,5)*$C$20*IF(N19=0,0,1)</f>
        <v>2243.4979589119312</v>
      </c>
      <c r="O21" s="768">
        <f ca="1">VLOOKUP(O5,'ENA Assumptions'!$A$11:$E$31,3)*VLOOKUP(O5,'ENA Assumptions'!$A$11:$E$31,5)*$C$20*IF(O19=0,0,1)</f>
        <v>2303.4375000000005</v>
      </c>
      <c r="P21" s="768">
        <f ca="1">VLOOKUP(P5,'ENA Assumptions'!$A$11:$E$31,3)*VLOOKUP(P5,'ENA Assumptions'!$A$11:$E$31,5)*$C$20*IF(P19=0,0,1)</f>
        <v>2303.4375000000005</v>
      </c>
      <c r="Q21" s="768">
        <f ca="1">VLOOKUP(Q5,'ENA Assumptions'!$A$11:$E$31,3)*VLOOKUP(Q5,'ENA Assumptions'!$A$11:$E$31,5)*$C$20*IF(Q19=0,0,1)</f>
        <v>2666.1801723027024</v>
      </c>
      <c r="R21" s="768">
        <f ca="1">VLOOKUP(R5,'ENA Assumptions'!$A$11:$E$31,3)*VLOOKUP(R5,'ENA Assumptions'!$A$11:$E$31,5)*$C$20*IF(R19=0,0,1)</f>
        <v>2666.180172302707</v>
      </c>
      <c r="S21" s="768">
        <f ca="1">VLOOKUP(S5,'ENA Assumptions'!$A$11:$E$31,3)*VLOOKUP(S5,'ENA Assumptions'!$A$11:$E$31,5)*$C$20*IF(S19=0,0,1)</f>
        <v>2657.8125000000005</v>
      </c>
      <c r="T21" s="768">
        <f ca="1">VLOOKUP(T5,'ENA Assumptions'!$A$11:$E$31,3)*VLOOKUP(T5,'ENA Assumptions'!$A$11:$E$31,5)*$C$20*IF(T19=0,0,1)</f>
        <v>2657.8125000000005</v>
      </c>
      <c r="U21" s="768">
        <f ca="1">VLOOKUP(U5,'ENA Assumptions'!$A$11:$E$31,3)*VLOOKUP(U5,'ENA Assumptions'!$A$11:$E$31,5)*$C$20*IF(U19=0,0,1)</f>
        <v>1771.8750000000005</v>
      </c>
      <c r="V21" s="768">
        <f ca="1">VLOOKUP(V5,'ENA Assumptions'!$A$11:$E$31,3)*VLOOKUP(V5,'ENA Assumptions'!$A$11:$E$31,5)*$C$20*IF(V19=0,0,1)</f>
        <v>1771.8750000000005</v>
      </c>
      <c r="W21" s="768">
        <f>VLOOKUP(W5,'ENA Assumptions'!$A$11:$E$31,3)*VLOOKUP(W5,'ENA Assumptions'!$A$11:$E$31,5)*$C$20*IF(W19=0,0,1)</f>
        <v>1828.5750000000003</v>
      </c>
      <c r="X21" s="767"/>
    </row>
    <row r="22" spans="1:24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4645.5674838407958</v>
      </c>
      <c r="F22" s="351">
        <f ca="1">IF(OR(F7&lt;12,F19=0),0,+F20*'ASSUM 1'!$S$42/2)</f>
        <v>4556.7716744866493</v>
      </c>
      <c r="G22" s="351">
        <f ca="1">IF(OR(G7&lt;12,G19=0),0,+G20*'ASSUM 1'!$S$42/2)</f>
        <v>4446.3968632671795</v>
      </c>
      <c r="H22" s="351">
        <f ca="1">IF(OR(H7&lt;12,H19=0),0,+H20*'ASSUM 1'!$S$42/2)</f>
        <v>4314.5188220126738</v>
      </c>
      <c r="I22" s="351">
        <f ca="1">IF(OR(I7&lt;12,I19=0),0,+I20*'ASSUM 1'!$S$42/2)</f>
        <v>4182.6407807581681</v>
      </c>
      <c r="J22" s="351">
        <f ca="1">IF(OR(J7&lt;12,J19=0),0,+J20*'ASSUM 1'!$S$42/2)</f>
        <v>4002.2630947325929</v>
      </c>
      <c r="K22" s="351">
        <f ca="1">IF(OR(K7&lt;12,K19=0),0,+K20*'ASSUM 1'!$S$42/2)</f>
        <v>3821.8854087070163</v>
      </c>
      <c r="L22" s="351">
        <f ca="1">IF(OR(L7&lt;12,L19=0),0,+L20*'ASSUM 1'!$S$42/2)</f>
        <v>3585.3264553023469</v>
      </c>
      <c r="M22" s="351">
        <f ca="1">IF(OR(M7&lt;12,M19=0),0,+M20*'ASSUM 1'!$S$42/2)</f>
        <v>3348.7675018976774</v>
      </c>
      <c r="N22" s="351">
        <f ca="1">IF(OR(N7&lt;12,N19=0),0,+N20*'ASSUM 1'!$S$42/2)</f>
        <v>3049.6344407094207</v>
      </c>
      <c r="O22" s="351">
        <f ca="1">IF(OR(O7&lt;12,O19=0),0,+O20*'ASSUM 1'!$S$42/2)</f>
        <v>2750.501379521163</v>
      </c>
      <c r="P22" s="351">
        <f ca="1">IF(OR(P7&lt;12,P19=0),0,+P20*'ASSUM 1'!$S$42/2)</f>
        <v>2443.376379521163</v>
      </c>
      <c r="Q22" s="351">
        <f ca="1">IF(OR(Q7&lt;12,Q19=0),0,+Q20*'ASSUM 1'!$S$42/2)</f>
        <v>2136.251379521163</v>
      </c>
      <c r="R22" s="351">
        <f ca="1">IF(OR(R7&lt;12,R19=0),0,+R20*'ASSUM 1'!$S$42/2)</f>
        <v>1780.7606898808028</v>
      </c>
      <c r="S22" s="351">
        <f ca="1">IF(OR(S7&lt;12,S19=0),0,+S20*'ASSUM 1'!$S$42/2)</f>
        <v>1425.270000240442</v>
      </c>
      <c r="T22" s="351">
        <f ca="1">IF(OR(T7&lt;12,T19=0),0,+T20*'ASSUM 1'!$S$42/2)</f>
        <v>1070.895000240442</v>
      </c>
      <c r="U22" s="351">
        <f ca="1">IF(OR(U7&lt;12,U19=0),0,+U20*'ASSUM 1'!$S$42/2)</f>
        <v>716.52000024044185</v>
      </c>
      <c r="V22" s="351">
        <f ca="1">IF(OR(V7&lt;12,V19=0),0,+V20*'ASSUM 1'!$S$42/2)</f>
        <v>480.2700002404419</v>
      </c>
      <c r="W22" s="351">
        <f ca="1">IF(OR(W7&lt;12,W19=0),0,+W20*'ASSUM 1'!$S$42/2)</f>
        <v>0</v>
      </c>
      <c r="X22" s="767"/>
    </row>
    <row r="23" spans="1:24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5320.7438711940358</v>
      </c>
      <c r="E23" s="351">
        <f t="shared" ref="E23:W23" ca="1" si="2">E22+E21</f>
        <v>5311.5360539968888</v>
      </c>
      <c r="F23" s="351">
        <f t="shared" ca="1" si="2"/>
        <v>5384.5827586326795</v>
      </c>
      <c r="G23" s="351">
        <f t="shared" ca="1" si="2"/>
        <v>5435.4821726759719</v>
      </c>
      <c r="H23" s="351">
        <f t="shared" ca="1" si="2"/>
        <v>5303.6041314214663</v>
      </c>
      <c r="I23" s="351">
        <f t="shared" ca="1" si="2"/>
        <v>5535.4734259499855</v>
      </c>
      <c r="J23" s="351">
        <f t="shared" ca="1" si="2"/>
        <v>5355.0957399244144</v>
      </c>
      <c r="K23" s="351">
        <f t="shared" ca="1" si="2"/>
        <v>5596.0775592420387</v>
      </c>
      <c r="L23" s="351">
        <f t="shared" ca="1" si="2"/>
        <v>5359.5186058373693</v>
      </c>
      <c r="M23" s="351">
        <f t="shared" ca="1" si="2"/>
        <v>5592.2654608096045</v>
      </c>
      <c r="N23" s="351">
        <f t="shared" ca="1" si="2"/>
        <v>5293.1323996213523</v>
      </c>
      <c r="O23" s="351">
        <f t="shared" ca="1" si="2"/>
        <v>5053.9388795211635</v>
      </c>
      <c r="P23" s="351">
        <f t="shared" ca="1" si="2"/>
        <v>4746.8138795211635</v>
      </c>
      <c r="Q23" s="351">
        <f t="shared" ca="1" si="2"/>
        <v>4802.4315518238654</v>
      </c>
      <c r="R23" s="351">
        <f t="shared" ca="1" si="2"/>
        <v>4446.94086218351</v>
      </c>
      <c r="S23" s="351">
        <f t="shared" ca="1" si="2"/>
        <v>4083.0825002404426</v>
      </c>
      <c r="T23" s="351">
        <f t="shared" ca="1" si="2"/>
        <v>3728.7075002404426</v>
      </c>
      <c r="U23" s="351">
        <f t="shared" ca="1" si="2"/>
        <v>2488.3950002404422</v>
      </c>
      <c r="V23" s="351">
        <f t="shared" ca="1" si="2"/>
        <v>2252.1450002404422</v>
      </c>
      <c r="W23" s="351">
        <f t="shared" ca="1" si="2"/>
        <v>1828.5750000000003</v>
      </c>
      <c r="X23" s="767"/>
    </row>
    <row r="24" spans="1:24">
      <c r="A24" s="359" t="s">
        <v>268</v>
      </c>
      <c r="C24" s="351">
        <f t="shared" ref="C24:S24" ca="1" si="3">C20-C21</f>
        <v>118125</v>
      </c>
      <c r="D24" s="351">
        <f t="shared" ca="1" si="3"/>
        <v>117529.25612880597</v>
      </c>
      <c r="E24" s="351">
        <f t="shared" ca="1" si="3"/>
        <v>115473.21852586379</v>
      </c>
      <c r="F24" s="351">
        <f t="shared" ca="1" si="3"/>
        <v>113091.48077802021</v>
      </c>
      <c r="G24" s="351">
        <f t="shared" ca="1" si="3"/>
        <v>110170.83627227068</v>
      </c>
      <c r="H24" s="351">
        <f t="shared" ca="1" si="3"/>
        <v>106873.88524090804</v>
      </c>
      <c r="I24" s="351">
        <f t="shared" ca="1" si="3"/>
        <v>103213.18687376239</v>
      </c>
      <c r="J24" s="351">
        <f t="shared" ca="1" si="3"/>
        <v>98703.744723122989</v>
      </c>
      <c r="K24" s="351">
        <f t="shared" ca="1" si="3"/>
        <v>93772.943067140382</v>
      </c>
      <c r="L24" s="351">
        <f t="shared" ca="1" si="3"/>
        <v>87858.96923202365</v>
      </c>
      <c r="M24" s="351">
        <f t="shared" ca="1" si="3"/>
        <v>81475.689588530004</v>
      </c>
      <c r="N24" s="351">
        <f t="shared" ca="1" si="3"/>
        <v>73997.363058823583</v>
      </c>
      <c r="O24" s="351">
        <f t="shared" ca="1" si="3"/>
        <v>66459.09698802908</v>
      </c>
      <c r="P24" s="351">
        <f t="shared" ca="1" si="3"/>
        <v>58780.97198802908</v>
      </c>
      <c r="Q24" s="351">
        <f t="shared" ca="1" si="3"/>
        <v>50740.104315726378</v>
      </c>
      <c r="R24" s="351">
        <f t="shared" ca="1" si="3"/>
        <v>41852.837074717361</v>
      </c>
      <c r="S24" s="351">
        <f t="shared" ca="1" si="3"/>
        <v>32973.937506011047</v>
      </c>
      <c r="T24" s="351">
        <f ca="1">T20-T21</f>
        <v>24114.562506011047</v>
      </c>
      <c r="U24" s="351">
        <f ca="1">U20-U21</f>
        <v>16141.125006011047</v>
      </c>
      <c r="V24" s="351">
        <f ca="1">V20-V21</f>
        <v>10234.875006011047</v>
      </c>
      <c r="W24" s="351">
        <f ca="1">W20-W21</f>
        <v>4271.9250060110462</v>
      </c>
      <c r="X24" s="767"/>
    </row>
    <row r="25" spans="1:24">
      <c r="A25" s="359"/>
      <c r="C25" s="351"/>
      <c r="D25" s="351"/>
      <c r="X25" s="767"/>
    </row>
    <row r="26" spans="1:24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24">
      <c r="A27" s="359" t="s">
        <v>20</v>
      </c>
      <c r="C27" s="351">
        <f t="shared" ref="C27:S27" ca="1" si="5">C24</f>
        <v>118125</v>
      </c>
      <c r="D27" s="351">
        <f t="shared" ca="1" si="5"/>
        <v>117529.25612880597</v>
      </c>
      <c r="E27" s="351">
        <f t="shared" ca="1" si="5"/>
        <v>115473.21852586379</v>
      </c>
      <c r="F27" s="351">
        <f t="shared" ca="1" si="5"/>
        <v>113091.48077802021</v>
      </c>
      <c r="G27" s="351">
        <f t="shared" ca="1" si="5"/>
        <v>110170.83627227068</v>
      </c>
      <c r="H27" s="351">
        <f t="shared" ca="1" si="5"/>
        <v>106873.88524090804</v>
      </c>
      <c r="I27" s="351">
        <f t="shared" ca="1" si="5"/>
        <v>103213.18687376239</v>
      </c>
      <c r="J27" s="351">
        <f t="shared" ca="1" si="5"/>
        <v>98703.744723122989</v>
      </c>
      <c r="K27" s="351">
        <f t="shared" ca="1" si="5"/>
        <v>93772.943067140382</v>
      </c>
      <c r="L27" s="351">
        <f t="shared" ca="1" si="5"/>
        <v>87858.96923202365</v>
      </c>
      <c r="M27" s="351">
        <f t="shared" ca="1" si="5"/>
        <v>81475.689588530004</v>
      </c>
      <c r="N27" s="351">
        <f t="shared" ca="1" si="5"/>
        <v>73997.363058823583</v>
      </c>
      <c r="O27" s="351">
        <f t="shared" ca="1" si="5"/>
        <v>66459.09698802908</v>
      </c>
      <c r="P27" s="351">
        <f t="shared" ca="1" si="5"/>
        <v>58780.97198802908</v>
      </c>
      <c r="Q27" s="351">
        <f t="shared" ca="1" si="5"/>
        <v>50740.104315726378</v>
      </c>
      <c r="R27" s="351">
        <f t="shared" ca="1" si="5"/>
        <v>41852.837074717361</v>
      </c>
      <c r="S27" s="351">
        <f t="shared" ca="1" si="5"/>
        <v>32973.937506011047</v>
      </c>
      <c r="T27" s="351">
        <f ca="1">T24</f>
        <v>24114.562506011047</v>
      </c>
      <c r="U27" s="351">
        <f ca="1">U24</f>
        <v>16141.125006011047</v>
      </c>
      <c r="V27" s="351">
        <f ca="1">V24</f>
        <v>10234.875006011047</v>
      </c>
      <c r="W27" s="351">
        <f ca="1">W24</f>
        <v>4271.9250060110462</v>
      </c>
      <c r="X27" s="767"/>
    </row>
    <row r="28" spans="1:24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1390.0690327860843</v>
      </c>
      <c r="E28" s="621">
        <f ca="1">VLOOKUP(E5,'ENA Assumptions'!$A$11:$E$31,3)*VLOOKUP(E5,'ENA Assumptions'!$A$11:$E$31,4)*$C$20*IF(E26=0,0,1)</f>
        <v>1553.9266636975492</v>
      </c>
      <c r="F28" s="621">
        <f ca="1">VLOOKUP(F5,'ENA Assumptions'!$A$11:$E$31,3)*VLOOKUP(F5,'ENA Assumptions'!$A$11:$E$31,4)*$C$20*IF(F26=0,0,1)</f>
        <v>1931.5591963407376</v>
      </c>
      <c r="G28" s="621">
        <f ca="1">VLOOKUP(G5,'ENA Assumptions'!$A$11:$E$31,3)*VLOOKUP(G5,'ENA Assumptions'!$A$11:$E$31,4)*$C$20*IF(G26=0,0,1)</f>
        <v>2307.8657219538482</v>
      </c>
      <c r="H28" s="621">
        <f ca="1">VLOOKUP(H5,'ENA Assumptions'!$A$11:$E$31,3)*VLOOKUP(H5,'ENA Assumptions'!$A$11:$E$31,4)*$C$20*IF(H26=0,0,1)</f>
        <v>2307.8657219538482</v>
      </c>
      <c r="I28" s="621">
        <f ca="1">VLOOKUP(I5,'ENA Assumptions'!$A$11:$E$31,3)*VLOOKUP(I5,'ENA Assumptions'!$A$11:$E$31,4)*$C$20*IF(I26=0,0,1)</f>
        <v>3156.6095054475732</v>
      </c>
      <c r="J28" s="621">
        <f ca="1">VLOOKUP(J5,'ENA Assumptions'!$A$11:$E$31,3)*VLOOKUP(J5,'ENA Assumptions'!$A$11:$E$31,4)*$C$20*IF(J26=0,0,1)</f>
        <v>3156.6095054475823</v>
      </c>
      <c r="K28" s="621">
        <f ca="1">VLOOKUP(K5,'ENA Assumptions'!$A$11:$E$31,3)*VLOOKUP(K5,'ENA Assumptions'!$A$11:$E$31,4)*$C$20*IF(K26=0,0,1)</f>
        <v>4139.7816845817179</v>
      </c>
      <c r="L28" s="621">
        <f ca="1">VLOOKUP(L5,'ENA Assumptions'!$A$11:$E$31,3)*VLOOKUP(L5,'ENA Assumptions'!$A$11:$E$31,4)*$C$20*IF(L26=0,0,1)</f>
        <v>4139.7816845817179</v>
      </c>
      <c r="M28" s="621">
        <f ca="1">VLOOKUP(M5,'ENA Assumptions'!$A$11:$E$31,3)*VLOOKUP(M5,'ENA Assumptions'!$A$11:$E$31,4)*$C$20*IF(M26=0,0,1)</f>
        <v>5234.8285707944951</v>
      </c>
      <c r="N28" s="621">
        <f ca="1">VLOOKUP(N5,'ENA Assumptions'!$A$11:$E$31,3)*VLOOKUP(N5,'ENA Assumptions'!$A$11:$E$31,4)*$C$20*IF(N26=0,0,1)</f>
        <v>5234.8285707945042</v>
      </c>
      <c r="O28" s="621">
        <f ca="1">VLOOKUP(O5,'ENA Assumptions'!$A$11:$E$31,3)*VLOOKUP(O5,'ENA Assumptions'!$A$11:$E$31,4)*$C$20*IF(O26=0,0,1)</f>
        <v>5374.6875</v>
      </c>
      <c r="P28" s="621">
        <f ca="1">VLOOKUP(P5,'ENA Assumptions'!$A$11:$E$31,3)*VLOOKUP(P5,'ENA Assumptions'!$A$11:$E$31,4)*$C$20*IF(P26=0,0,1)</f>
        <v>5374.6875</v>
      </c>
      <c r="Q28" s="621">
        <f ca="1">VLOOKUP(Q5,'ENA Assumptions'!$A$11:$E$31,3)*VLOOKUP(Q5,'ENA Assumptions'!$A$11:$E$31,4)*$C$20*IF(Q26=0,0,1)</f>
        <v>6221.0870687063043</v>
      </c>
      <c r="R28" s="621">
        <f ca="1">VLOOKUP(R5,'ENA Assumptions'!$A$11:$E$31,3)*VLOOKUP(R5,'ENA Assumptions'!$A$11:$E$31,4)*$C$20*IF(R26=0,0,1)</f>
        <v>6221.0870687063143</v>
      </c>
      <c r="S28" s="621">
        <f ca="1">VLOOKUP(S5,'ENA Assumptions'!$A$11:$E$31,3)*VLOOKUP(S5,'ENA Assumptions'!$A$11:$E$31,4)*$C$20*IF(S26=0,0,1)</f>
        <v>6201.5625</v>
      </c>
      <c r="T28" s="621">
        <f ca="1">VLOOKUP(T5,'ENA Assumptions'!$A$11:$E$31,3)*VLOOKUP(T5,'ENA Assumptions'!$A$11:$E$31,4)*$C$20*IF(T26=0,0,1)</f>
        <v>6201.5625</v>
      </c>
      <c r="U28" s="621">
        <f ca="1">VLOOKUP(U5,'ENA Assumptions'!$A$11:$E$31,3)*VLOOKUP(U5,'ENA Assumptions'!$A$11:$E$31,4)*$C$20*IF(U26=0,0,1)</f>
        <v>4134.375</v>
      </c>
      <c r="V28" s="621">
        <f ca="1">VLOOKUP(V5,'ENA Assumptions'!$A$11:$E$31,3)*VLOOKUP(V5,'ENA Assumptions'!$A$11:$E$31,4)*$C$20*IF(V26=0,0,1)</f>
        <v>4134.375</v>
      </c>
      <c r="W28" s="621">
        <f>VLOOKUP(W5,'ENA Assumptions'!$A$11:$E$31,3)*VLOOKUP(W5,'ENA Assumptions'!$A$11:$E$31,4)*$C$20*IF(W26=0,0,1)</f>
        <v>4266.6750000000002</v>
      </c>
      <c r="X28" s="767"/>
    </row>
    <row r="29" spans="1:24">
      <c r="A29" s="359" t="s">
        <v>403</v>
      </c>
      <c r="C29" s="620">
        <v>0</v>
      </c>
      <c r="D29" s="351">
        <f ca="1">D27*'ASSUM 1'!$S$42/2</f>
        <v>4701.1702451522387</v>
      </c>
      <c r="E29" s="351">
        <f ca="1">E27*'ASSUM 1'!$S$42/2</f>
        <v>4618.9287410345514</v>
      </c>
      <c r="F29" s="351">
        <f ca="1">F27*'ASSUM 1'!$S$42/2</f>
        <v>4523.6592311208087</v>
      </c>
      <c r="G29" s="351">
        <f ca="1">G27*'ASSUM 1'!$S$42/2</f>
        <v>4406.8334508908274</v>
      </c>
      <c r="H29" s="351">
        <f ca="1">H27*'ASSUM 1'!$S$42/2</f>
        <v>4274.9554096363217</v>
      </c>
      <c r="I29" s="351">
        <f ca="1">I27*'ASSUM 1'!$S$42/2</f>
        <v>4128.5274749504952</v>
      </c>
      <c r="J29" s="351">
        <f ca="1">J27*'ASSUM 1'!$S$42/2</f>
        <v>3948.1497889249194</v>
      </c>
      <c r="K29" s="351">
        <f ca="1">K27*'ASSUM 1'!$S$42/2</f>
        <v>3750.9177226856154</v>
      </c>
      <c r="L29" s="351">
        <f ca="1">L27*'ASSUM 1'!$S$42/2</f>
        <v>3514.358769280946</v>
      </c>
      <c r="M29" s="351">
        <f ca="1">M27*'ASSUM 1'!$S$42/2</f>
        <v>3259.0275835412003</v>
      </c>
      <c r="N29" s="351">
        <f ca="1">N27*'ASSUM 1'!$S$42/2</f>
        <v>2959.8945223529436</v>
      </c>
      <c r="O29" s="351">
        <f ca="1">O27*'ASSUM 1'!$S$42/2</f>
        <v>2658.3638795211632</v>
      </c>
      <c r="P29" s="351">
        <f ca="1">P27*'ASSUM 1'!$S$42/2</f>
        <v>2351.2388795211632</v>
      </c>
      <c r="Q29" s="351">
        <f ca="1">Q27*'ASSUM 1'!$S$42/2</f>
        <v>2029.6041726290553</v>
      </c>
      <c r="R29" s="351">
        <f ca="1">R27*'ASSUM 1'!$S$42/2</f>
        <v>1674.1134829886944</v>
      </c>
      <c r="S29" s="351">
        <f ca="1">S27*'ASSUM 1'!$S$42/2</f>
        <v>1318.957500240442</v>
      </c>
      <c r="T29" s="351">
        <f ca="1">T27*'ASSUM 1'!$S$42/2</f>
        <v>964.58250024044185</v>
      </c>
      <c r="U29" s="351">
        <f ca="1">U27*'ASSUM 1'!$S$42/2</f>
        <v>645.64500024044185</v>
      </c>
      <c r="V29" s="351">
        <f ca="1">V27*'ASSUM 1'!$S$42/2</f>
        <v>409.3950002404419</v>
      </c>
      <c r="W29" s="351">
        <f ca="1">W27*'ASSUM 1'!$S$42/2</f>
        <v>170.87700024044184</v>
      </c>
      <c r="X29" s="767"/>
    </row>
    <row r="30" spans="1:24">
      <c r="A30" s="359" t="s">
        <v>404</v>
      </c>
      <c r="C30" s="351">
        <f ca="1">C29+C28</f>
        <v>0</v>
      </c>
      <c r="D30" s="351">
        <f ca="1">D29+D28</f>
        <v>6091.2392779383226</v>
      </c>
      <c r="E30" s="351">
        <f t="shared" ref="E30:W30" ca="1" si="6">E29+E28</f>
        <v>6172.8554047321004</v>
      </c>
      <c r="F30" s="351">
        <f t="shared" ca="1" si="6"/>
        <v>6455.2184274615465</v>
      </c>
      <c r="G30" s="351">
        <f t="shared" ca="1" si="6"/>
        <v>6714.6991728446756</v>
      </c>
      <c r="H30" s="351">
        <f t="shared" ca="1" si="6"/>
        <v>6582.8211315901699</v>
      </c>
      <c r="I30" s="351">
        <f t="shared" ca="1" si="6"/>
        <v>7285.1369803980688</v>
      </c>
      <c r="J30" s="351">
        <f t="shared" ca="1" si="6"/>
        <v>7104.7592943725012</v>
      </c>
      <c r="K30" s="351">
        <f t="shared" ca="1" si="6"/>
        <v>7890.6994072673333</v>
      </c>
      <c r="L30" s="351">
        <f t="shared" ca="1" si="6"/>
        <v>7654.1404538626639</v>
      </c>
      <c r="M30" s="351">
        <f t="shared" ca="1" si="6"/>
        <v>8493.8561543356955</v>
      </c>
      <c r="N30" s="351">
        <f t="shared" ca="1" si="6"/>
        <v>8194.7230931474478</v>
      </c>
      <c r="O30" s="351">
        <f t="shared" ca="1" si="6"/>
        <v>8033.0513795211627</v>
      </c>
      <c r="P30" s="351">
        <f t="shared" ca="1" si="6"/>
        <v>7725.9263795211627</v>
      </c>
      <c r="Q30" s="351">
        <f t="shared" ca="1" si="6"/>
        <v>8250.6912413353602</v>
      </c>
      <c r="R30" s="351">
        <f t="shared" ca="1" si="6"/>
        <v>7895.2005516950085</v>
      </c>
      <c r="S30" s="351">
        <f t="shared" ca="1" si="6"/>
        <v>7520.5200002404417</v>
      </c>
      <c r="T30" s="351">
        <f t="shared" ca="1" si="6"/>
        <v>7166.1450002404417</v>
      </c>
      <c r="U30" s="351">
        <f t="shared" ca="1" si="6"/>
        <v>4780.0200002404417</v>
      </c>
      <c r="V30" s="351">
        <f t="shared" ca="1" si="6"/>
        <v>4543.7700002404417</v>
      </c>
      <c r="W30" s="351">
        <f t="shared" ca="1" si="6"/>
        <v>4437.5520002404419</v>
      </c>
      <c r="X30" s="767"/>
    </row>
    <row r="31" spans="1:24">
      <c r="A31" s="359" t="s">
        <v>268</v>
      </c>
      <c r="C31" s="351">
        <f t="shared" ref="C31:S31" ca="1" si="7">C27-C28</f>
        <v>118125</v>
      </c>
      <c r="D31" s="351">
        <f t="shared" ca="1" si="7"/>
        <v>116139.18709601989</v>
      </c>
      <c r="E31" s="351">
        <f t="shared" ca="1" si="7"/>
        <v>113919.29186216624</v>
      </c>
      <c r="F31" s="351">
        <f t="shared" ca="1" si="7"/>
        <v>111159.92158167947</v>
      </c>
      <c r="G31" s="351">
        <f t="shared" ca="1" si="7"/>
        <v>107862.97055031684</v>
      </c>
      <c r="H31" s="351">
        <f t="shared" ca="1" si="7"/>
        <v>104566.0195189542</v>
      </c>
      <c r="I31" s="351">
        <f t="shared" ca="1" si="7"/>
        <v>100056.57736831481</v>
      </c>
      <c r="J31" s="351">
        <f t="shared" ca="1" si="7"/>
        <v>95547.135217675401</v>
      </c>
      <c r="K31" s="351">
        <f t="shared" ca="1" si="7"/>
        <v>89633.161382558668</v>
      </c>
      <c r="L31" s="351">
        <f t="shared" ca="1" si="7"/>
        <v>83719.187547441936</v>
      </c>
      <c r="M31" s="351">
        <f t="shared" ca="1" si="7"/>
        <v>76240.861017735515</v>
      </c>
      <c r="N31" s="351">
        <f t="shared" ca="1" si="7"/>
        <v>68762.53448802908</v>
      </c>
      <c r="O31" s="351">
        <f t="shared" ca="1" si="7"/>
        <v>61084.40948802908</v>
      </c>
      <c r="P31" s="351">
        <f t="shared" ca="1" si="7"/>
        <v>53406.28448802908</v>
      </c>
      <c r="Q31" s="351">
        <f t="shared" ca="1" si="7"/>
        <v>44519.01724702007</v>
      </c>
      <c r="R31" s="351">
        <f t="shared" ca="1" si="7"/>
        <v>35631.750006011047</v>
      </c>
      <c r="S31" s="351">
        <f t="shared" ca="1" si="7"/>
        <v>26772.375006011047</v>
      </c>
      <c r="T31" s="351">
        <f ca="1">T27-T28</f>
        <v>17913.000006011047</v>
      </c>
      <c r="U31" s="351">
        <f ca="1">U27-U28</f>
        <v>12006.750006011047</v>
      </c>
      <c r="V31" s="351">
        <f ca="1">V27-V28</f>
        <v>6100.5000060110469</v>
      </c>
      <c r="W31" s="351">
        <f ca="1">W27-W28</f>
        <v>5.2500060110460254</v>
      </c>
      <c r="X31" s="767"/>
    </row>
    <row r="32" spans="1:24">
      <c r="A32" s="359"/>
      <c r="C32" s="351"/>
      <c r="D32" s="351"/>
      <c r="X32" s="767"/>
    </row>
    <row r="33" spans="1:44">
      <c r="A33" s="363" t="s">
        <v>405</v>
      </c>
      <c r="C33" s="351"/>
      <c r="D33" s="351"/>
      <c r="X33" s="767"/>
    </row>
    <row r="34" spans="1:44">
      <c r="A34" s="359" t="s">
        <v>403</v>
      </c>
      <c r="C34" s="351">
        <f t="shared" ref="C34:S34" ca="1" si="8">ROUND(+C29+C22,2)</f>
        <v>0</v>
      </c>
      <c r="D34" s="351">
        <f t="shared" ca="1" si="8"/>
        <v>9426.17</v>
      </c>
      <c r="E34" s="351">
        <f t="shared" ca="1" si="8"/>
        <v>9264.5</v>
      </c>
      <c r="F34" s="351">
        <f t="shared" ca="1" si="8"/>
        <v>9080.43</v>
      </c>
      <c r="G34" s="351">
        <f t="shared" ca="1" si="8"/>
        <v>8853.23</v>
      </c>
      <c r="H34" s="351">
        <f t="shared" ca="1" si="8"/>
        <v>8589.4699999999993</v>
      </c>
      <c r="I34" s="351">
        <f t="shared" ca="1" si="8"/>
        <v>8311.17</v>
      </c>
      <c r="J34" s="351">
        <f t="shared" ca="1" si="8"/>
        <v>7950.41</v>
      </c>
      <c r="K34" s="351">
        <f t="shared" ca="1" si="8"/>
        <v>7572.8</v>
      </c>
      <c r="L34" s="351">
        <f t="shared" ca="1" si="8"/>
        <v>7099.69</v>
      </c>
      <c r="M34" s="351">
        <f t="shared" ca="1" si="8"/>
        <v>6607.8</v>
      </c>
      <c r="N34" s="351">
        <f t="shared" ca="1" si="8"/>
        <v>6009.53</v>
      </c>
      <c r="O34" s="351">
        <f t="shared" ca="1" si="8"/>
        <v>5408.87</v>
      </c>
      <c r="P34" s="351">
        <f t="shared" ca="1" si="8"/>
        <v>4794.62</v>
      </c>
      <c r="Q34" s="351">
        <f t="shared" ca="1" si="8"/>
        <v>4165.8599999999997</v>
      </c>
      <c r="R34" s="351">
        <f t="shared" ca="1" si="8"/>
        <v>3454.87</v>
      </c>
      <c r="S34" s="351">
        <f t="shared" ca="1" si="8"/>
        <v>2744.23</v>
      </c>
      <c r="T34" s="351">
        <f ca="1">ROUND(+T29+T22,2)</f>
        <v>2035.48</v>
      </c>
      <c r="U34" s="351">
        <f ca="1">ROUND(+U29+U22,2)</f>
        <v>1362.17</v>
      </c>
      <c r="V34" s="351">
        <f ca="1">ROUND(+V29+V22,2)</f>
        <v>889.67</v>
      </c>
      <c r="W34" s="351">
        <f ca="1">ROUND(+W29+W22,2)</f>
        <v>170.88</v>
      </c>
      <c r="X34" s="767"/>
    </row>
    <row r="35" spans="1:44">
      <c r="A35" s="359" t="s">
        <v>402</v>
      </c>
      <c r="C35" s="364">
        <f t="shared" ref="C35:S35" ca="1" si="9">C28+C21</f>
        <v>0</v>
      </c>
      <c r="D35" s="364">
        <f t="shared" ca="1" si="9"/>
        <v>1985.8129039801206</v>
      </c>
      <c r="E35" s="364">
        <f t="shared" ca="1" si="9"/>
        <v>2219.8952338536419</v>
      </c>
      <c r="F35" s="364">
        <f t="shared" ca="1" si="9"/>
        <v>2759.370280486768</v>
      </c>
      <c r="G35" s="364">
        <f t="shared" ca="1" si="9"/>
        <v>3296.9510313626406</v>
      </c>
      <c r="H35" s="364">
        <f t="shared" ca="1" si="9"/>
        <v>3296.9510313626406</v>
      </c>
      <c r="I35" s="364">
        <f t="shared" ca="1" si="9"/>
        <v>4509.4421506393901</v>
      </c>
      <c r="J35" s="364">
        <f t="shared" ca="1" si="9"/>
        <v>4509.4421506394037</v>
      </c>
      <c r="K35" s="364">
        <f t="shared" ca="1" si="9"/>
        <v>5913.9738351167398</v>
      </c>
      <c r="L35" s="364">
        <f t="shared" ca="1" si="9"/>
        <v>5913.9738351167398</v>
      </c>
      <c r="M35" s="364">
        <f t="shared" ca="1" si="9"/>
        <v>7478.3265297064227</v>
      </c>
      <c r="N35" s="364">
        <f t="shared" ca="1" si="9"/>
        <v>7478.3265297064354</v>
      </c>
      <c r="O35" s="364">
        <f t="shared" ca="1" si="9"/>
        <v>7678.125</v>
      </c>
      <c r="P35" s="364">
        <f t="shared" ca="1" si="9"/>
        <v>7678.125</v>
      </c>
      <c r="Q35" s="364">
        <f t="shared" ca="1" si="9"/>
        <v>8887.2672410090072</v>
      </c>
      <c r="R35" s="364">
        <f t="shared" ca="1" si="9"/>
        <v>8887.2672410090217</v>
      </c>
      <c r="S35" s="364">
        <f t="shared" ca="1" si="9"/>
        <v>8859.375</v>
      </c>
      <c r="T35" s="364">
        <f ca="1">T28+T21</f>
        <v>8859.375</v>
      </c>
      <c r="U35" s="364">
        <f ca="1">U28+U21</f>
        <v>5906.25</v>
      </c>
      <c r="V35" s="364">
        <f ca="1">V28+V21</f>
        <v>5906.25</v>
      </c>
      <c r="W35" s="364">
        <f>W28+W21</f>
        <v>6095.25</v>
      </c>
      <c r="X35" s="767"/>
    </row>
    <row r="36" spans="1:4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11411.982903980121</v>
      </c>
      <c r="E36" s="351">
        <f t="shared" ca="1" si="10"/>
        <v>11484.395233853642</v>
      </c>
      <c r="F36" s="351">
        <f t="shared" ca="1" si="10"/>
        <v>11839.800280486768</v>
      </c>
      <c r="G36" s="351">
        <f t="shared" ca="1" si="10"/>
        <v>12150.181031362641</v>
      </c>
      <c r="H36" s="351">
        <f t="shared" ca="1" si="10"/>
        <v>11886.421031362639</v>
      </c>
      <c r="I36" s="351">
        <f t="shared" ca="1" si="10"/>
        <v>12820.61215063939</v>
      </c>
      <c r="J36" s="351">
        <f t="shared" ca="1" si="10"/>
        <v>12459.852150639403</v>
      </c>
      <c r="K36" s="351">
        <f t="shared" ca="1" si="10"/>
        <v>13486.773835116739</v>
      </c>
      <c r="L36" s="351">
        <f t="shared" ca="1" si="10"/>
        <v>13013.663835116738</v>
      </c>
      <c r="M36" s="351">
        <f t="shared" ca="1" si="10"/>
        <v>14086.126529706424</v>
      </c>
      <c r="N36" s="351">
        <f t="shared" ca="1" si="10"/>
        <v>13487.856529706434</v>
      </c>
      <c r="O36" s="351">
        <f t="shared" ca="1" si="10"/>
        <v>13086.994999999999</v>
      </c>
      <c r="P36" s="351">
        <f t="shared" ca="1" si="10"/>
        <v>12472.744999999999</v>
      </c>
      <c r="Q36" s="351">
        <f t="shared" ca="1" si="10"/>
        <v>13053.127241009006</v>
      </c>
      <c r="R36" s="351">
        <f t="shared" ca="1" si="10"/>
        <v>12342.137241009023</v>
      </c>
      <c r="S36" s="351">
        <f t="shared" ca="1" si="10"/>
        <v>11603.605</v>
      </c>
      <c r="T36" s="351">
        <f ca="1">T34+T35</f>
        <v>10894.855</v>
      </c>
      <c r="U36" s="351">
        <f ca="1">U34+U35</f>
        <v>7268.42</v>
      </c>
      <c r="V36" s="351">
        <f ca="1">V34+V35</f>
        <v>6795.92</v>
      </c>
      <c r="W36" s="351">
        <f ca="1">W34+W35</f>
        <v>6266.13</v>
      </c>
      <c r="X36" s="767"/>
    </row>
    <row r="37" spans="1:44" ht="16.5" thickTop="1">
      <c r="A37" s="356"/>
      <c r="B37" s="356"/>
      <c r="C37" s="824">
        <f ca="1">C24</f>
        <v>118125</v>
      </c>
      <c r="D37" s="824">
        <f ca="1">C31</f>
        <v>118125</v>
      </c>
      <c r="E37" s="824">
        <f ca="1">D24</f>
        <v>117529.25612880597</v>
      </c>
      <c r="F37" s="824">
        <f ca="1">D31</f>
        <v>116139.18709601989</v>
      </c>
      <c r="G37" s="824">
        <f ca="1">E24</f>
        <v>115473.21852586379</v>
      </c>
      <c r="H37" s="824">
        <f ca="1">E31</f>
        <v>113919.29186216624</v>
      </c>
      <c r="I37" s="824">
        <f ca="1">F24</f>
        <v>113091.48077802021</v>
      </c>
      <c r="J37" s="824">
        <f ca="1">F31</f>
        <v>111159.92158167947</v>
      </c>
      <c r="K37" s="824">
        <f ca="1">G24</f>
        <v>110170.83627227068</v>
      </c>
      <c r="L37" s="824">
        <f ca="1">G31</f>
        <v>107862.97055031684</v>
      </c>
      <c r="M37" s="824">
        <f ca="1">H24</f>
        <v>106873.88524090804</v>
      </c>
      <c r="N37" s="824">
        <f ca="1">H31</f>
        <v>104566.0195189542</v>
      </c>
      <c r="O37" s="824">
        <f ca="1">I24</f>
        <v>103213.18687376239</v>
      </c>
      <c r="P37" s="824">
        <f ca="1">I31</f>
        <v>100056.57736831481</v>
      </c>
      <c r="Q37" s="824">
        <f ca="1">J24</f>
        <v>98703.744723122989</v>
      </c>
      <c r="R37" s="824">
        <f ca="1">J31</f>
        <v>95547.135217675401</v>
      </c>
      <c r="S37" s="824">
        <f ca="1">K24</f>
        <v>93772.943067140382</v>
      </c>
      <c r="T37" s="824">
        <f ca="1">K31</f>
        <v>89633.161382558668</v>
      </c>
      <c r="U37" s="824">
        <f ca="1">L24</f>
        <v>87858.96923202365</v>
      </c>
      <c r="V37" s="824">
        <f ca="1">L31</f>
        <v>83719.187547441936</v>
      </c>
      <c r="W37" s="824">
        <f ca="1">M24</f>
        <v>81475.689588530004</v>
      </c>
      <c r="X37" s="779">
        <f ca="1">M31</f>
        <v>76240.861017735515</v>
      </c>
      <c r="Y37" s="779">
        <f ca="1">N24</f>
        <v>73997.363058823583</v>
      </c>
      <c r="Z37" s="779">
        <f ca="1">N31</f>
        <v>68762.53448802908</v>
      </c>
      <c r="AA37" s="779">
        <f ca="1">O24</f>
        <v>66459.09698802908</v>
      </c>
      <c r="AB37" s="779">
        <f ca="1">O31</f>
        <v>61084.40948802908</v>
      </c>
      <c r="AC37" s="779">
        <f ca="1">P24</f>
        <v>58780.97198802908</v>
      </c>
      <c r="AD37" s="779">
        <f ca="1">P31</f>
        <v>53406.28448802908</v>
      </c>
      <c r="AE37" s="779">
        <f ca="1">Q24</f>
        <v>50740.104315726378</v>
      </c>
      <c r="AF37" s="779">
        <f ca="1">Q31</f>
        <v>44519.01724702007</v>
      </c>
      <c r="AG37" s="779">
        <f ca="1">R24</f>
        <v>41852.837074717361</v>
      </c>
      <c r="AH37" s="779">
        <f ca="1">R31</f>
        <v>35631.750006011047</v>
      </c>
      <c r="AI37" s="779">
        <f ca="1">S24</f>
        <v>32973.937506011047</v>
      </c>
      <c r="AJ37" s="779">
        <f ca="1">S31</f>
        <v>26772.375006011047</v>
      </c>
      <c r="AK37" s="779">
        <f ca="1">T24</f>
        <v>24114.562506011047</v>
      </c>
      <c r="AL37" s="779">
        <f ca="1">T31</f>
        <v>17913.000006011047</v>
      </c>
      <c r="AM37" s="779">
        <f ca="1">U24</f>
        <v>16141.125006011047</v>
      </c>
      <c r="AN37" s="779">
        <f ca="1">U31</f>
        <v>12006.750006011047</v>
      </c>
      <c r="AO37" s="779">
        <f ca="1">V24</f>
        <v>10234.875006011047</v>
      </c>
      <c r="AP37" s="779">
        <f ca="1">V30</f>
        <v>4543.7700002404417</v>
      </c>
      <c r="AQ37" s="779">
        <f ca="1">W24</f>
        <v>4271.9250060110462</v>
      </c>
      <c r="AR37" s="338">
        <v>0</v>
      </c>
    </row>
    <row r="38" spans="1:4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4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44">
      <c r="A40" s="337" t="s">
        <v>266</v>
      </c>
      <c r="C40" s="362">
        <f ca="1">'ASSUM 1'!R46</f>
        <v>9607.2300000000014</v>
      </c>
      <c r="D40" s="351">
        <f t="shared" ref="D40:R40" ca="1" si="11">C42</f>
        <v>11754.556096209162</v>
      </c>
      <c r="E40" s="351">
        <f t="shared" ca="1" si="11"/>
        <v>12036.281945541015</v>
      </c>
      <c r="F40" s="351">
        <f t="shared" ca="1" si="11"/>
        <v>12231.373328898168</v>
      </c>
      <c r="G40" s="351">
        <f t="shared" ca="1" si="11"/>
        <v>12560.768039824159</v>
      </c>
      <c r="H40" s="351">
        <f t="shared" ca="1" si="11"/>
        <v>12733.464600574982</v>
      </c>
      <c r="I40" s="351">
        <f t="shared" ca="1" si="11"/>
        <v>13173.405700243738</v>
      </c>
      <c r="J40" s="351">
        <f t="shared" ca="1" si="11"/>
        <v>13306.854576057149</v>
      </c>
      <c r="K40" s="351">
        <f t="shared" ca="1" si="11"/>
        <v>13432.28314592927</v>
      </c>
      <c r="L40" s="351">
        <f t="shared" ca="1" si="11"/>
        <v>13229.477378905916</v>
      </c>
      <c r="M40" s="351">
        <f t="shared" ca="1" si="11"/>
        <v>13237.370060084368</v>
      </c>
      <c r="N40" s="351">
        <f t="shared" ca="1" si="11"/>
        <v>12888.572202344896</v>
      </c>
      <c r="O40" s="351">
        <f t="shared" ca="1" si="11"/>
        <v>12511.721896403606</v>
      </c>
      <c r="P40" s="351">
        <f t="shared" ca="1" si="11"/>
        <v>12073.293896403606</v>
      </c>
      <c r="Q40" s="351">
        <f t="shared" ca="1" si="11"/>
        <v>11032.428896403604</v>
      </c>
      <c r="R40" s="351">
        <f t="shared" ca="1" si="11"/>
        <v>9780.9874482018022</v>
      </c>
      <c r="S40" s="351">
        <f ca="1">R42</f>
        <v>8565.7859999999982</v>
      </c>
      <c r="T40" s="351">
        <f ca="1">S42</f>
        <v>7806.3312500000002</v>
      </c>
      <c r="U40" s="351">
        <f ca="1">T42</f>
        <v>6776.8233333333337</v>
      </c>
      <c r="V40" s="351">
        <f ca="1">U42</f>
        <v>6531.0249999999987</v>
      </c>
      <c r="W40" s="351">
        <f ca="1">V42</f>
        <v>6266.13</v>
      </c>
    </row>
    <row r="41" spans="1:44">
      <c r="A41" s="337" t="s">
        <v>328</v>
      </c>
      <c r="C41" s="364">
        <f ca="1">C40-((AVERAGE(D36:H36))*'ASSUM 1'!$Q$46/12)</f>
        <v>-2147.3260962091608</v>
      </c>
      <c r="D41" s="364">
        <f ca="1">D40-((AVERAGE(E36:I36))*'ASSUM 1'!$Q$46/12)</f>
        <v>-281.72584933185317</v>
      </c>
      <c r="E41" s="364">
        <f ca="1">E40-((AVERAGE(F36:J36))*'ASSUM 1'!$Q$46/12)</f>
        <v>-195.09138335715215</v>
      </c>
      <c r="F41" s="364">
        <f ca="1">F40-((AVERAGE(G36:K36))*'ASSUM 1'!$Q$46/12)</f>
        <v>-329.3947109259916</v>
      </c>
      <c r="G41" s="364">
        <f ca="1">G40-((AVERAGE(H36:L36))*'ASSUM 1'!$Q$46/12)</f>
        <v>-172.69656075082275</v>
      </c>
      <c r="H41" s="364">
        <f ca="1">H40-((AVERAGE(I36:M36))*'ASSUM 1'!$Q$46/12)</f>
        <v>-439.94109966875658</v>
      </c>
      <c r="I41" s="364">
        <f ca="1">I40-((AVERAGE(J36:N36))*'ASSUM 1'!$Q$46/12)</f>
        <v>-133.44887581341027</v>
      </c>
      <c r="J41" s="364">
        <f ca="1">J40-((AVERAGE(K36:O36))*'ASSUM 1'!$Q$46/12)</f>
        <v>-125.42856987212144</v>
      </c>
      <c r="K41" s="364">
        <f ca="1">K40-((AVERAGE(L36:P36))*'ASSUM 1'!$Q$46/12)</f>
        <v>202.80576702335384</v>
      </c>
      <c r="L41" s="364">
        <f ca="1">L40-((AVERAGE(M36:Q36))*'ASSUM 1'!$Q$46/12)</f>
        <v>-7.892681178451312</v>
      </c>
      <c r="M41" s="364">
        <f ca="1">M40-((AVERAGE(N36:R36))*'ASSUM 1'!$Q$46/12)</f>
        <v>348.79785773947151</v>
      </c>
      <c r="N41" s="364">
        <f ca="1">N40-((AVERAGE(O36:S36))*'ASSUM 1'!$Q$46/12)</f>
        <v>376.85030594129057</v>
      </c>
      <c r="O41" s="364">
        <f ca="1">O40-((AVERAGE(P36:T36))*'ASSUM 1'!$Q$46/12)</f>
        <v>438.42799999999988</v>
      </c>
      <c r="P41" s="364">
        <f ca="1">P40-((AVERAGE(Q36:U36))*'ASSUM 1'!$Q$46/12)</f>
        <v>1040.8650000000016</v>
      </c>
      <c r="Q41" s="364">
        <f ca="1">Q40-((AVERAGE(R36:V36))*'ASSUM 1'!$Q$46/12)</f>
        <v>1251.4414482018019</v>
      </c>
      <c r="R41" s="364">
        <f ca="1">R40-((AVERAGE(S36:W36))*'ASSUM 1'!$Q$46/12)</f>
        <v>1215.2014482018039</v>
      </c>
      <c r="S41" s="364">
        <f ca="1">S40-((AVERAGE(T36:X36))*'ASSUM 1'!$Q$46/12)</f>
        <v>759.45474999999806</v>
      </c>
      <c r="T41" s="364">
        <f ca="1">T40-((AVERAGE(U36:Y36))*'ASSUM 1'!$Q$46/12)</f>
        <v>1029.5079166666665</v>
      </c>
      <c r="U41" s="364">
        <f ca="1">U40-((AVERAGE(V36:Z36))*'ASSUM 1'!$Q$46/12)</f>
        <v>245.79833333333499</v>
      </c>
      <c r="V41" s="364">
        <f ca="1">V40-((AVERAGE(W36:AA36))*'ASSUM 1'!$Q$46/12)</f>
        <v>264.89499999999862</v>
      </c>
      <c r="W41" s="364">
        <v>0</v>
      </c>
    </row>
    <row r="42" spans="1:44">
      <c r="A42" s="337"/>
      <c r="C42" s="351">
        <f t="shared" ref="C42:R42" ca="1" si="12">C40-C41</f>
        <v>11754.556096209162</v>
      </c>
      <c r="D42" s="351">
        <f t="shared" ca="1" si="12"/>
        <v>12036.281945541015</v>
      </c>
      <c r="E42" s="351">
        <f t="shared" ca="1" si="12"/>
        <v>12231.373328898168</v>
      </c>
      <c r="F42" s="351">
        <f t="shared" ca="1" si="12"/>
        <v>12560.768039824159</v>
      </c>
      <c r="G42" s="351">
        <f t="shared" ca="1" si="12"/>
        <v>12733.464600574982</v>
      </c>
      <c r="H42" s="351">
        <f t="shared" ca="1" si="12"/>
        <v>13173.405700243738</v>
      </c>
      <c r="I42" s="351">
        <f t="shared" ca="1" si="12"/>
        <v>13306.854576057149</v>
      </c>
      <c r="J42" s="351">
        <f t="shared" ca="1" si="12"/>
        <v>13432.28314592927</v>
      </c>
      <c r="K42" s="351">
        <f t="shared" ca="1" si="12"/>
        <v>13229.477378905916</v>
      </c>
      <c r="L42" s="351">
        <f t="shared" ca="1" si="12"/>
        <v>13237.370060084368</v>
      </c>
      <c r="M42" s="351">
        <f t="shared" ca="1" si="12"/>
        <v>12888.572202344896</v>
      </c>
      <c r="N42" s="351">
        <f t="shared" ca="1" si="12"/>
        <v>12511.721896403606</v>
      </c>
      <c r="O42" s="351">
        <f t="shared" ca="1" si="12"/>
        <v>12073.293896403606</v>
      </c>
      <c r="P42" s="351">
        <f t="shared" ca="1" si="12"/>
        <v>11032.428896403604</v>
      </c>
      <c r="Q42" s="351">
        <f t="shared" ca="1" si="12"/>
        <v>9780.9874482018022</v>
      </c>
      <c r="R42" s="351">
        <f t="shared" ca="1" si="12"/>
        <v>8565.7859999999982</v>
      </c>
      <c r="S42" s="351">
        <f ca="1">S40-S41</f>
        <v>7806.3312500000002</v>
      </c>
      <c r="T42" s="351">
        <f ca="1">T40-T41</f>
        <v>6776.8233333333337</v>
      </c>
      <c r="U42" s="351">
        <f ca="1">U40-U41</f>
        <v>6531.0249999999987</v>
      </c>
      <c r="V42" s="351">
        <f ca="1">V40-V41</f>
        <v>6266.13</v>
      </c>
      <c r="W42" s="351">
        <v>0</v>
      </c>
    </row>
    <row r="43" spans="1:4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44">
      <c r="A44" s="345" t="s">
        <v>329</v>
      </c>
      <c r="C44" s="351">
        <f ca="1">C42*'ASSUM 1'!$S$46</f>
        <v>94.036448769673299</v>
      </c>
      <c r="D44" s="351">
        <f ca="1">D42*'ASSUM 1'!$S$46</f>
        <v>96.29025556432812</v>
      </c>
      <c r="E44" s="351">
        <f ca="1">E42*'ASSUM 1'!$S$46</f>
        <v>97.850986631185336</v>
      </c>
      <c r="F44" s="351">
        <f ca="1">F42*'ASSUM 1'!$S$46</f>
        <v>100.48614431859328</v>
      </c>
      <c r="G44" s="351">
        <f ca="1">G42*'ASSUM 1'!$S$46</f>
        <v>101.86771680459985</v>
      </c>
      <c r="H44" s="351">
        <f ca="1">H42*'ASSUM 1'!$S$46</f>
        <v>105.38724560194991</v>
      </c>
      <c r="I44" s="351">
        <f ca="1">I42*'ASSUM 1'!$S$46</f>
        <v>106.45483660845719</v>
      </c>
      <c r="J44" s="351">
        <f ca="1">J42*'ASSUM 1'!$S$46</f>
        <v>107.45826516743416</v>
      </c>
      <c r="K44" s="351">
        <f ca="1">K42*'ASSUM 1'!$S$46</f>
        <v>105.83581903124734</v>
      </c>
      <c r="L44" s="351">
        <f ca="1">L42*'ASSUM 1'!$S$46</f>
        <v>105.89896048067494</v>
      </c>
      <c r="M44" s="351">
        <f ca="1">M42*'ASSUM 1'!$S$46</f>
        <v>103.10857761875917</v>
      </c>
      <c r="N44" s="351">
        <f ca="1">N42*'ASSUM 1'!$S$46</f>
        <v>100.09377517122884</v>
      </c>
      <c r="O44" s="351">
        <f ca="1">O42*'ASSUM 1'!$S$46</f>
        <v>96.586351171228841</v>
      </c>
      <c r="P44" s="351">
        <f ca="1">P42*'ASSUM 1'!$S$46</f>
        <v>88.25943117122884</v>
      </c>
      <c r="Q44" s="351">
        <f ca="1">Q42*'ASSUM 1'!$S$46</f>
        <v>78.247899585614419</v>
      </c>
      <c r="R44" s="351">
        <f ca="1">R42*'ASSUM 1'!$S$46</f>
        <v>68.526287999999994</v>
      </c>
      <c r="S44" s="351">
        <f ca="1">S42*'ASSUM 1'!$S$46</f>
        <v>62.450650000000003</v>
      </c>
      <c r="T44" s="351">
        <f ca="1">T42*'ASSUM 1'!$S$46</f>
        <v>54.214586666666669</v>
      </c>
      <c r="U44" s="351">
        <f ca="1">U42*'ASSUM 1'!$S$46</f>
        <v>52.24819999999999</v>
      </c>
      <c r="V44" s="351">
        <f ca="1">V42*'ASSUM 1'!$S$46</f>
        <v>50.129040000000003</v>
      </c>
      <c r="W44" s="351">
        <v>0</v>
      </c>
    </row>
    <row r="47" spans="1:4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44">
      <c r="A48" s="338" t="s">
        <v>451</v>
      </c>
      <c r="B48" s="778">
        <f ca="1">SUM(C48:W48)</f>
        <v>1051484.5661325592</v>
      </c>
      <c r="C48" s="778">
        <f ca="1">C47*C30</f>
        <v>0</v>
      </c>
      <c r="D48" s="778">
        <f ca="1">D47*D28</f>
        <v>2085.1035491791263</v>
      </c>
      <c r="E48" s="778">
        <f t="shared" ref="E48:W48" ca="1" si="13">E47*E28</f>
        <v>3884.8166592438729</v>
      </c>
      <c r="F48" s="778">
        <f t="shared" ca="1" si="13"/>
        <v>6760.4571871925818</v>
      </c>
      <c r="G48" s="778">
        <f t="shared" ca="1" si="13"/>
        <v>10385.395748792316</v>
      </c>
      <c r="H48" s="778">
        <f t="shared" ca="1" si="13"/>
        <v>12693.261470746165</v>
      </c>
      <c r="I48" s="778">
        <f t="shared" ca="1" si="13"/>
        <v>20517.961785409225</v>
      </c>
      <c r="J48" s="778">
        <f t="shared" ca="1" si="13"/>
        <v>23674.571290856868</v>
      </c>
      <c r="K48" s="778">
        <f t="shared" ca="1" si="13"/>
        <v>35188.1443189446</v>
      </c>
      <c r="L48" s="778">
        <f t="shared" ca="1" si="13"/>
        <v>39327.926003526321</v>
      </c>
      <c r="M48" s="778">
        <f t="shared" ca="1" si="13"/>
        <v>54965.699993342198</v>
      </c>
      <c r="N48" s="778">
        <f t="shared" ca="1" si="13"/>
        <v>60200.528564136795</v>
      </c>
      <c r="O48" s="778">
        <f t="shared" ca="1" si="13"/>
        <v>67183.59375</v>
      </c>
      <c r="P48" s="778">
        <f t="shared" ca="1" si="13"/>
        <v>72558.28125</v>
      </c>
      <c r="Q48" s="778">
        <f t="shared" ca="1" si="13"/>
        <v>90205.762496241412</v>
      </c>
      <c r="R48" s="778">
        <f t="shared" ca="1" si="13"/>
        <v>96426.849564947872</v>
      </c>
      <c r="S48" s="778">
        <f t="shared" ca="1" si="13"/>
        <v>102325.78125</v>
      </c>
      <c r="T48" s="778">
        <f t="shared" ca="1" si="13"/>
        <v>108527.34375</v>
      </c>
      <c r="U48" s="778">
        <f t="shared" ca="1" si="13"/>
        <v>76485.9375</v>
      </c>
      <c r="V48" s="778">
        <f t="shared" ca="1" si="13"/>
        <v>80620.3125</v>
      </c>
      <c r="W48" s="778">
        <f t="shared" si="13"/>
        <v>87466.837500000009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432918.28012914141</v>
      </c>
      <c r="C51" s="779">
        <f ca="1">C50*D21</f>
        <v>595.74387119403627</v>
      </c>
      <c r="D51" s="779">
        <f t="shared" ref="D51:W51" ca="1" si="14">D50*E21</f>
        <v>1331.9371403121852</v>
      </c>
      <c r="E51" s="779">
        <f t="shared" ca="1" si="14"/>
        <v>2483.4332524380916</v>
      </c>
      <c r="F51" s="779">
        <f t="shared" ca="1" si="14"/>
        <v>3956.3412376351689</v>
      </c>
      <c r="G51" s="779">
        <f t="shared" ca="1" si="14"/>
        <v>4945.4265470439614</v>
      </c>
      <c r="H51" s="779">
        <f t="shared" ca="1" si="14"/>
        <v>8116.9958711509043</v>
      </c>
      <c r="I51" s="779">
        <f t="shared" ca="1" si="14"/>
        <v>9469.8285163427481</v>
      </c>
      <c r="J51" s="779">
        <f t="shared" ca="1" si="14"/>
        <v>14193.537204280179</v>
      </c>
      <c r="K51" s="779">
        <f t="shared" ca="1" si="14"/>
        <v>15967.729354815201</v>
      </c>
      <c r="L51" s="779">
        <f t="shared" ca="1" si="14"/>
        <v>22434.97958911927</v>
      </c>
      <c r="M51" s="779">
        <f t="shared" ca="1" si="14"/>
        <v>24678.477548031242</v>
      </c>
      <c r="N51" s="779">
        <f t="shared" ca="1" si="14"/>
        <v>27641.250000000007</v>
      </c>
      <c r="O51" s="779">
        <f t="shared" ca="1" si="14"/>
        <v>29944.687500000007</v>
      </c>
      <c r="P51" s="779">
        <f t="shared" ca="1" si="14"/>
        <v>37326.522412237835</v>
      </c>
      <c r="Q51" s="779">
        <f t="shared" ca="1" si="14"/>
        <v>39992.702584540602</v>
      </c>
      <c r="R51" s="779">
        <f t="shared" ca="1" si="14"/>
        <v>42525.000000000007</v>
      </c>
      <c r="S51" s="779">
        <f t="shared" ca="1" si="14"/>
        <v>45182.812500000007</v>
      </c>
      <c r="T51" s="779">
        <f t="shared" ca="1" si="14"/>
        <v>31893.750000000007</v>
      </c>
      <c r="U51" s="779">
        <f t="shared" ca="1" si="14"/>
        <v>33665.625000000007</v>
      </c>
      <c r="V51" s="779">
        <f t="shared" si="14"/>
        <v>36571.500000000007</v>
      </c>
      <c r="W51" s="779">
        <f t="shared" si="14"/>
        <v>0</v>
      </c>
    </row>
    <row r="53" spans="1:23">
      <c r="A53" s="338" t="s">
        <v>442</v>
      </c>
      <c r="B53" s="780">
        <f ca="1">(B48+B51)/C20</f>
        <v>12.566373301686355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view="pageBreakPreview" topLeftCell="A81" zoomScale="60" zoomScaleNormal="100" workbookViewId="0">
      <selection activeCell="D96" sqref="D96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2.7003374999999998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2700.3374999999996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21.04618650969039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-165.54187326881177</v>
      </c>
      <c r="K65" s="427">
        <f t="shared" ca="1" si="4"/>
        <v>-141.87234134113677</v>
      </c>
      <c r="L65" s="427">
        <f t="shared" ca="1" si="4"/>
        <v>-114.65317456759034</v>
      </c>
      <c r="M65" s="427">
        <f t="shared" ca="1" si="4"/>
        <v>-87.434007794043893</v>
      </c>
      <c r="N65" s="427">
        <f t="shared" ca="1" si="4"/>
        <v>-47.081192090773158</v>
      </c>
      <c r="O65" s="427">
        <f t="shared" ca="1" si="4"/>
        <v>4718.2716236124979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69551.476975741127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9684.6757687849695</v>
      </c>
      <c r="P68" s="427">
        <f t="shared" ca="1" si="5"/>
        <v>1614.8103330005979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55557.325324434074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-165.54187326881177</v>
      </c>
      <c r="K69" s="437">
        <f t="shared" ca="1" si="6"/>
        <v>-141.87234134113677</v>
      </c>
      <c r="L69" s="437">
        <f t="shared" ca="1" si="6"/>
        <v>-114.65317456759034</v>
      </c>
      <c r="M69" s="437">
        <f t="shared" ca="1" si="6"/>
        <v>-87.434007794043893</v>
      </c>
      <c r="N69" s="437">
        <f t="shared" ca="1" si="6"/>
        <v>-47.081192090773158</v>
      </c>
      <c r="O69" s="437">
        <f t="shared" ca="1" si="6"/>
        <v>4718.2716236124979</v>
      </c>
      <c r="P69" s="437">
        <f t="shared" ca="1" si="6"/>
        <v>15473.346975167799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173682.32532443409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25868.444520476565</v>
      </c>
      <c r="J70" s="440">
        <f t="shared" ca="1" si="7"/>
        <v>8677.9315664752376</v>
      </c>
      <c r="K70" s="440">
        <f t="shared" ca="1" si="7"/>
        <v>5538.8153213008618</v>
      </c>
      <c r="L70" s="440">
        <f t="shared" ca="1" si="7"/>
        <v>6417.9468510835522</v>
      </c>
      <c r="M70" s="440">
        <f t="shared" ca="1" si="7"/>
        <v>6445.1660178570983</v>
      </c>
      <c r="N70" s="440">
        <f t="shared" ca="1" si="7"/>
        <v>9637.5945766941968</v>
      </c>
      <c r="O70" s="440">
        <f t="shared" ca="1" si="7"/>
        <v>14402.947392397467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169.52063628988398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25868.444520476573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25868.444520476573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9684.6757687849695</v>
      </c>
      <c r="P77" s="440">
        <f ca="1">IF(P8&gt;=$D$92,IF(SUM($D77:O77)&gt;=($D$91+HLOOKUP($D$92,$D$8:$Y$69,62)),0,MIN(P73,($D$91-SUM($D77:O77)+HLOOKUP($D$92,$D$8:$Y$69,62)))),0)</f>
        <v>1614.8103330005979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60026.155981626784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0</v>
      </c>
      <c r="P78" s="437">
        <f t="shared" ca="1" si="9"/>
        <v>15473.346975167799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134468.12352636224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25868.444520476573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v>2.2859999999999998E-2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69551.476975741127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9684.6757687849695</v>
      </c>
      <c r="P102" s="619">
        <f ca="1">P77+IF(P101&gt;0,SUM($D78:O78),0)</f>
        <v>1614.8103330005979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69551.476975741127</v>
      </c>
      <c r="J103" s="427">
        <f ca="1">SUM($D$102:J102)</f>
        <v>78394.950415485175</v>
      </c>
      <c r="K103" s="427">
        <f ca="1">SUM($D$102:K102)</f>
        <v>84075.638078127173</v>
      </c>
      <c r="L103" s="453">
        <f ca="1">SUM($D$102:L102)</f>
        <v>90608.23810377832</v>
      </c>
      <c r="M103" s="427">
        <f ca="1">SUM($D$102:M102)</f>
        <v>97140.838129429467</v>
      </c>
      <c r="N103" s="427">
        <f ca="1">SUM($D$102:N102)</f>
        <v>106825.51389821444</v>
      </c>
      <c r="O103" s="427">
        <f ca="1">SUM($D$102:O102)</f>
        <v>116510.18966699942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39730.049584514825</v>
      </c>
      <c r="K104" s="427">
        <f t="shared" ca="1" si="13"/>
        <v>34049.361921872827</v>
      </c>
      <c r="L104" s="427">
        <f t="shared" ca="1" si="13"/>
        <v>27516.76189622168</v>
      </c>
      <c r="M104" s="427">
        <f t="shared" ca="1" si="13"/>
        <v>20984.161870570533</v>
      </c>
      <c r="N104" s="427">
        <f t="shared" ca="1" si="13"/>
        <v>11299.486101785558</v>
      </c>
      <c r="O104" s="427">
        <f t="shared" ca="1" si="13"/>
        <v>1614.8103330005833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0.08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4725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4725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2.2859999999999998E-2</v>
      </c>
      <c r="D109" s="440">
        <f>$D$91*C109</f>
        <v>2700.3374999999996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165.54187326881177</v>
      </c>
      <c r="K111" s="427">
        <f ca="1">IF(K9&gt;=1,+K104*'ASSUM 1'!S43/12,0)</f>
        <v>141.87234134113677</v>
      </c>
      <c r="L111" s="427">
        <f ca="1">IF(L9&gt;=1,+L104*'ASSUM 1'!S43/12,0)</f>
        <v>114.65317456759034</v>
      </c>
      <c r="M111" s="427">
        <f ca="1">IF(M9&gt;=1,+M104*'ASSUM 1'!S43/12,0)</f>
        <v>87.434007794043893</v>
      </c>
      <c r="N111" s="427">
        <f ca="1">IF(N9&gt;=1,+N104*'ASSUM 1'!S43/12,0)</f>
        <v>47.081192090773158</v>
      </c>
      <c r="O111" s="427">
        <f ca="1">IF(O9&gt;=1,+O104*'ASSUM 1'!S43/12,0)</f>
        <v>6.7283763875024318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4725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-165.54187326881177</v>
      </c>
      <c r="K113" s="427">
        <f t="shared" ca="1" si="18"/>
        <v>-141.87234134113677</v>
      </c>
      <c r="L113" s="427">
        <f t="shared" ca="1" si="18"/>
        <v>-114.65317456759034</v>
      </c>
      <c r="M113" s="427">
        <f t="shared" ca="1" si="18"/>
        <v>-87.434007794043893</v>
      </c>
      <c r="N113" s="427">
        <f t="shared" ca="1" si="18"/>
        <v>-47.081192090773158</v>
      </c>
      <c r="O113" s="427">
        <f t="shared" ca="1" si="18"/>
        <v>4718.2716236124979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4161.6890345501415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2700.3374999999996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173682.32532443412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25868.444520476573</v>
      </c>
      <c r="J121" s="427">
        <f t="shared" ca="1" si="19"/>
        <v>8677.9315664752376</v>
      </c>
      <c r="K121" s="427">
        <f t="shared" ca="1" si="19"/>
        <v>5538.8153213008618</v>
      </c>
      <c r="L121" s="427">
        <f t="shared" ca="1" si="19"/>
        <v>6417.9468510835522</v>
      </c>
      <c r="M121" s="427">
        <f t="shared" ca="1" si="19"/>
        <v>6445.1660178570983</v>
      </c>
      <c r="N121" s="427">
        <f t="shared" ca="1" si="19"/>
        <v>9637.5945766941968</v>
      </c>
      <c r="O121" s="427">
        <f t="shared" ca="1" si="19"/>
        <v>14402.947392397467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69551.476975741127</v>
      </c>
      <c r="J122" s="427">
        <f t="shared" ca="1" si="20"/>
        <v>78229.408542216363</v>
      </c>
      <c r="K122" s="427">
        <f t="shared" ca="1" si="20"/>
        <v>83768.223863517225</v>
      </c>
      <c r="L122" s="427">
        <f t="shared" ca="1" si="20"/>
        <v>90186.170714600783</v>
      </c>
      <c r="M122" s="427">
        <f t="shared" ca="1" si="20"/>
        <v>96631.336732457887</v>
      </c>
      <c r="N122" s="427">
        <f t="shared" ca="1" si="20"/>
        <v>106268.93130915209</v>
      </c>
      <c r="O122" s="427">
        <f t="shared" ca="1" si="20"/>
        <v>120671.87870154956</v>
      </c>
      <c r="P122" s="427">
        <f t="shared" ca="1" si="20"/>
        <v>137760.03600971797</v>
      </c>
      <c r="Q122" s="427">
        <f t="shared" ca="1" si="20"/>
        <v>149168.77756449208</v>
      </c>
      <c r="R122" s="427">
        <f t="shared" ca="1" si="20"/>
        <v>160577.51911926619</v>
      </c>
      <c r="S122" s="427">
        <f t="shared" ca="1" si="20"/>
        <v>173682.32532443412</v>
      </c>
      <c r="T122" s="427">
        <f t="shared" ca="1" si="20"/>
        <v>173682.32532443412</v>
      </c>
      <c r="U122" s="427">
        <f t="shared" ca="1" si="20"/>
        <v>173682.32532443412</v>
      </c>
      <c r="V122" s="427">
        <f t="shared" ca="1" si="20"/>
        <v>173682.32532443412</v>
      </c>
      <c r="W122" s="427">
        <f t="shared" ca="1" si="20"/>
        <v>173682.32532443412</v>
      </c>
      <c r="X122" s="427">
        <f t="shared" ca="1" si="20"/>
        <v>173682.32532443412</v>
      </c>
      <c r="Y122" s="427">
        <f t="shared" ca="1" si="20"/>
        <v>173682.32532443412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10618.304184456058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-165.54187326881177</v>
      </c>
      <c r="K125" s="467">
        <f ca="1">-IF(K101&gt;0,SUM($D$124:J125),0)+IF(YEAR(K$8)=$B$125,K$78+K113,0)</f>
        <v>-141.87234134113677</v>
      </c>
      <c r="L125" s="467">
        <f ca="1">-IF(L101&gt;0,SUM($D$124:K125),0)+IF(YEAR(L$8)=$B$125,L$78+L113,0)</f>
        <v>-114.65317456759034</v>
      </c>
      <c r="M125" s="467">
        <f ca="1">-IF(M101&gt;0,SUM($D$124:L125),0)+IF(YEAR(M$8)=$B$125,M$78+M113,0)</f>
        <v>-87.434007794043893</v>
      </c>
      <c r="N125" s="467">
        <f ca="1">-IF(N101&gt;0,SUM($D$124:M125),0)+IF(YEAR(N$8)=$B$125,N$78+N113,0)</f>
        <v>-47.081192090773158</v>
      </c>
      <c r="O125" s="467">
        <f ca="1">-IF(O101&gt;0,SUM($D$124:N125),0)+IF(YEAR(O$8)=$B$125,O$78+O113,0)</f>
        <v>4718.2716236124979</v>
      </c>
      <c r="P125" s="467">
        <f ca="1">-IF(P101&gt;0,SUM($D$124:O125),0)+IF(YEAR(P$8)=$B$125,P$78+P113,0)</f>
        <v>15473.346975167799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55557.325324434089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-165.54187326881177</v>
      </c>
      <c r="K127" s="427">
        <f t="shared" ca="1" si="23"/>
        <v>-141.87234134113677</v>
      </c>
      <c r="L127" s="427">
        <f t="shared" ca="1" si="23"/>
        <v>-114.65317456759034</v>
      </c>
      <c r="M127" s="427">
        <f t="shared" ca="1" si="23"/>
        <v>-87.434007794043893</v>
      </c>
      <c r="N127" s="427">
        <f t="shared" ca="1" si="23"/>
        <v>-47.081192090773158</v>
      </c>
      <c r="O127" s="427">
        <f t="shared" ca="1" si="23"/>
        <v>4718.2716236124979</v>
      </c>
      <c r="P127" s="427">
        <f t="shared" ca="1" si="23"/>
        <v>15473.346975167799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13560.877020476571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13560.877020476571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3"/>
  <sheetViews>
    <sheetView showOutlineSymbols="0" view="pageBreakPreview" topLeftCell="A17" zoomScale="60" zoomScaleNormal="75" workbookViewId="0">
      <selection activeCell="C51" sqref="C5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4" ht="23.25">
      <c r="A1" s="336" t="s">
        <v>0</v>
      </c>
      <c r="B1" s="337"/>
      <c r="C1" s="337"/>
      <c r="D1" s="337"/>
    </row>
    <row r="2" spans="1:24">
      <c r="A2" s="339" t="s">
        <v>408</v>
      </c>
      <c r="B2" s="340"/>
      <c r="C2" s="341"/>
      <c r="D2" s="337"/>
    </row>
    <row r="3" spans="1:24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24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24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24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24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24">
      <c r="A8" s="337"/>
      <c r="B8" s="337"/>
      <c r="C8" s="337"/>
      <c r="D8" s="337"/>
    </row>
    <row r="9" spans="1:24">
      <c r="A9" s="339" t="s">
        <v>393</v>
      </c>
      <c r="B9" s="346"/>
      <c r="C9" s="347"/>
      <c r="D9" s="347"/>
      <c r="E9" s="348"/>
    </row>
    <row r="10" spans="1:24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24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24">
      <c r="A12" s="349" t="s">
        <v>396</v>
      </c>
      <c r="B12" s="352">
        <f>'ASSUM 1'!S42</f>
        <v>0.08</v>
      </c>
      <c r="C12" s="337" t="s">
        <v>76</v>
      </c>
      <c r="D12" s="337"/>
      <c r="E12" s="348"/>
    </row>
    <row r="13" spans="1:24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24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4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24">
      <c r="A16" s="347"/>
      <c r="B16" s="354"/>
      <c r="C16" s="347"/>
      <c r="D16" s="347"/>
    </row>
    <row r="17" spans="1:20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20">
      <c r="A18" s="359"/>
      <c r="C18" s="351"/>
      <c r="D18" s="351"/>
      <c r="T18" s="358"/>
    </row>
    <row r="19" spans="1:20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20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20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20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3600</v>
      </c>
      <c r="E22" s="351">
        <f ca="1">IF(OR(E7&lt;12,E19=0),0,+E20*'ASSUM 1'!$S$42/2)</f>
        <v>3477.6</v>
      </c>
      <c r="F22" s="351">
        <f ca="1">IF(OR(F7&lt;12,F19=0),0,+F20*'ASSUM 1'!$S$42/2)</f>
        <v>3366</v>
      </c>
      <c r="G22" s="351">
        <f ca="1">IF(OR(G7&lt;12,G19=0),0,+G20*'ASSUM 1'!$S$42/2)</f>
        <v>3220.2000000000003</v>
      </c>
      <c r="H22" s="351">
        <f ca="1">IF(OR(H7&lt;12,H19=0),0,+H20*'ASSUM 1'!$S$42/2)</f>
        <v>3050.64</v>
      </c>
      <c r="I22" s="351">
        <f ca="1">IF(OR(I7&lt;12,I19=0),0,+I20*'ASSUM 1'!$S$42/2)</f>
        <v>3018.2400000000002</v>
      </c>
      <c r="J22" s="351">
        <f ca="1">IF(OR(J7&lt;12,J19=0),0,+J20*'ASSUM 1'!$S$42/2)</f>
        <v>2858.04</v>
      </c>
      <c r="K22" s="351">
        <f ca="1">IF(OR(K7&lt;12,K19=0),0,+K20*'ASSUM 1'!$S$42/2)</f>
        <v>2539.44</v>
      </c>
      <c r="L22" s="351">
        <f ca="1">IF(OR(L7&lt;12,L19=0),0,+L20*'ASSUM 1'!$S$42/2)</f>
        <v>2177.64</v>
      </c>
      <c r="M22" s="351">
        <f ca="1">IF(OR(M7&lt;12,M19=0),0,+M20*'ASSUM 1'!$S$42/2)</f>
        <v>1835.64</v>
      </c>
      <c r="N22" s="351">
        <f ca="1">IF(OR(N7&lt;12,N19=0),0,+N20*'ASSUM 1'!$S$42/2)</f>
        <v>1493.64</v>
      </c>
      <c r="O22" s="351">
        <f ca="1">IF(OR(O7&lt;12,O19=0),0,+O20*'ASSUM 1'!$S$42/2)</f>
        <v>1169.6400000000001</v>
      </c>
      <c r="P22" s="351">
        <f ca="1">IF(OR(P7&lt;12,P19=0),0,+P20*'ASSUM 1'!$S$42/2)</f>
        <v>845.64</v>
      </c>
      <c r="Q22" s="351">
        <f ca="1">IF(OR(Q7&lt;12,Q19=0),0,+Q20*'ASSUM 1'!$S$42/2)</f>
        <v>539.64</v>
      </c>
      <c r="R22" s="351">
        <f ca="1">IF(OR(R7&lt;12,R19=0),0,+R20*'ASSUM 1'!$S$42/2)</f>
        <v>251.64000000000001</v>
      </c>
      <c r="S22" s="351">
        <f ca="1">IF(OR(S7&lt;12,S19=0),0,+S20*'ASSUM 1'!$S$42/2)</f>
        <v>-6.5483618527650831E-13</v>
      </c>
      <c r="T22" s="358"/>
    </row>
    <row r="23" spans="1:20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5204.7089220295165</v>
      </c>
      <c r="E23" s="351">
        <f ca="1">IF(E7&lt;12,0,IF(E20&gt;1,PMT('ASSUM 1'!$S$42/2,'ASSUM 1'!$S$32*IF('ASSUM 1'!$S$34="semi",2,1),-(($C$20))),0))</f>
        <v>5204.7089220295165</v>
      </c>
      <c r="F23" s="351">
        <f ca="1">IF(F7&lt;12,0,IF(F20&gt;1,PMT('ASSUM 1'!$S$42/2,'ASSUM 1'!$S$32*IF('ASSUM 1'!$S$34="semi",2,1),-(($C$20))),0))</f>
        <v>5204.7089220295165</v>
      </c>
      <c r="G23" s="351">
        <f ca="1">IF(G7&lt;12,0,IF(G20&gt;1,PMT('ASSUM 1'!$S$42/2,'ASSUM 1'!$S$32*IF('ASSUM 1'!$S$34="semi",2,1),-(($C$20))),0))</f>
        <v>5204.7089220295165</v>
      </c>
      <c r="H23" s="351">
        <f ca="1">IF(H7&lt;12,0,IF(H20&gt;1,PMT('ASSUM 1'!$S$42/2,'ASSUM 1'!$S$32*IF('ASSUM 1'!$S$34="semi",2,1),-(($C$20))),0))</f>
        <v>5204.7089220295165</v>
      </c>
      <c r="I23" s="351">
        <f ca="1">IF(I7&lt;12,0,IF(I20&gt;1,PMT('ASSUM 1'!$S$42/2,'ASSUM 1'!$S$32*IF('ASSUM 1'!$S$34="semi",2,1),-(($C$20))),0))</f>
        <v>5204.7089220295165</v>
      </c>
      <c r="J23" s="351">
        <f ca="1">IF(J7&lt;12,0,IF(J20&gt;1,PMT('ASSUM 1'!$S$42/2,'ASSUM 1'!$S$32*IF('ASSUM 1'!$S$34="semi",2,1),-(($C$20))),0))</f>
        <v>5204.7089220295165</v>
      </c>
      <c r="K23" s="351">
        <f ca="1">IF(K7&lt;12,0,IF(K20&gt;1,PMT('ASSUM 1'!$S$42/2,'ASSUM 1'!$S$32*IF('ASSUM 1'!$S$34="semi",2,1),-(($C$20))),0))</f>
        <v>5204.7089220295165</v>
      </c>
      <c r="L23" s="351">
        <f ca="1">IF(L7&lt;12,0,IF(L20&gt;1,PMT('ASSUM 1'!$S$42/2,'ASSUM 1'!$S$32*IF('ASSUM 1'!$S$34="semi",2,1),-(($C$20))),0))</f>
        <v>5204.7089220295165</v>
      </c>
      <c r="M23" s="351">
        <f ca="1">IF(M7&lt;12,0,IF(M20&gt;1,PMT('ASSUM 1'!$S$42/2,'ASSUM 1'!$S$32*IF('ASSUM 1'!$S$34="semi",2,1),-(($C$20))),0))</f>
        <v>5204.7089220295165</v>
      </c>
      <c r="N23" s="351">
        <f ca="1">IF(N7&lt;12,0,IF(N20&gt;1,PMT('ASSUM 1'!$S$42/2,'ASSUM 1'!$S$32*IF('ASSUM 1'!$S$34="semi",2,1),-(($C$20))),0))</f>
        <v>5204.7089220295165</v>
      </c>
      <c r="O23" s="351">
        <f ca="1">IF(O7&lt;12,0,IF(O20&gt;1,PMT('ASSUM 1'!$S$42/2,'ASSUM 1'!$S$32*IF('ASSUM 1'!$S$34="semi",2,1),-(($C$20))),0))</f>
        <v>5204.7089220295165</v>
      </c>
      <c r="P23" s="351">
        <f ca="1">IF(P7&lt;12,0,IF(P20&gt;1,PMT('ASSUM 1'!$S$42/2,'ASSUM 1'!$S$32*IF('ASSUM 1'!$S$34="semi",2,1),-(($C$20))),0))</f>
        <v>5204.7089220295165</v>
      </c>
      <c r="Q23" s="351">
        <f ca="1">IF(Q7&lt;12,0,IF(Q20&gt;1,PMT('ASSUM 1'!$S$42/2,'ASSUM 1'!$S$32*IF('ASSUM 1'!$S$34="semi",2,1),-(($C$20))),0))</f>
        <v>5204.7089220295165</v>
      </c>
      <c r="R23" s="351">
        <f ca="1">IF(R7&lt;12,0,IF(R20&gt;1,PMT('ASSUM 1'!$S$42/2,'ASSUM 1'!$S$32*IF('ASSUM 1'!$S$34="semi",2,1),-(($C$20))),0))</f>
        <v>5204.7089220295165</v>
      </c>
      <c r="S23" s="351">
        <f ca="1">IF(S7&lt;12,0,IF(S20&gt;1,PMT('ASSUM 1'!$S$42/2,'ASSUM 1'!$S$32*IF('ASSUM 1'!$S$34="semi",2,1),-(($C$20))),0))</f>
        <v>0</v>
      </c>
      <c r="T23" s="358"/>
    </row>
    <row r="24" spans="1:20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20">
      <c r="A25" s="359"/>
      <c r="C25" s="351"/>
      <c r="D25" s="351"/>
      <c r="T25" s="358"/>
    </row>
    <row r="26" spans="1:20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20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20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20">
      <c r="A29" s="359" t="s">
        <v>403</v>
      </c>
      <c r="C29" s="620">
        <v>0</v>
      </c>
      <c r="D29" s="351">
        <f ca="1">D27*'ASSUM 1'!$S$42/2</f>
        <v>3538.8</v>
      </c>
      <c r="E29" s="351">
        <f ca="1">E27*'ASSUM 1'!$S$42/2</f>
        <v>3421.8</v>
      </c>
      <c r="F29" s="351">
        <f ca="1">F27*'ASSUM 1'!$S$42/2</f>
        <v>3293.1</v>
      </c>
      <c r="G29" s="351">
        <f ca="1">G27*'ASSUM 1'!$S$42/2</f>
        <v>3135.42</v>
      </c>
      <c r="H29" s="351">
        <f ca="1">H27*'ASSUM 1'!$S$42/2</f>
        <v>3034.44</v>
      </c>
      <c r="I29" s="351">
        <f ca="1">I27*'ASSUM 1'!$S$42/2</f>
        <v>2938.14</v>
      </c>
      <c r="J29" s="351">
        <f ca="1">J27*'ASSUM 1'!$S$42/2</f>
        <v>2698.7400000000002</v>
      </c>
      <c r="K29" s="351">
        <f ca="1">K27*'ASSUM 1'!$S$42/2</f>
        <v>2358.54</v>
      </c>
      <c r="L29" s="351">
        <f ca="1">L27*'ASSUM 1'!$S$42/2</f>
        <v>2006.64</v>
      </c>
      <c r="M29" s="351">
        <f ca="1">M27*'ASSUM 1'!$S$42/2</f>
        <v>1664.64</v>
      </c>
      <c r="N29" s="351">
        <f ca="1">N27*'ASSUM 1'!$S$42/2</f>
        <v>1331.64</v>
      </c>
      <c r="O29" s="351">
        <f ca="1">O27*'ASSUM 1'!$S$42/2</f>
        <v>1007.64</v>
      </c>
      <c r="P29" s="351">
        <f ca="1">P27*'ASSUM 1'!$S$42/2</f>
        <v>692.64</v>
      </c>
      <c r="Q29" s="351">
        <f ca="1">Q27*'ASSUM 1'!$S$42/2</f>
        <v>395.64</v>
      </c>
      <c r="R29" s="351">
        <f ca="1">R27*'ASSUM 1'!$S$42/2</f>
        <v>125.81999999999968</v>
      </c>
      <c r="S29" s="351">
        <f ca="1">S27*'ASSUM 1'!$S$42/2</f>
        <v>-6.5483618527650831E-13</v>
      </c>
      <c r="T29" s="358"/>
    </row>
    <row r="30" spans="1:20">
      <c r="A30" s="359" t="s">
        <v>404</v>
      </c>
      <c r="C30" s="351">
        <f ca="1">IF(C27&gt;1,PMT('ASSUM 1'!$S$42/2,'ASSUM 1'!$S$32*IF('ASSUM 1'!$S$34="semi",2,1),-(($C$20))),0)</f>
        <v>5204.7089220295165</v>
      </c>
      <c r="D30" s="351">
        <f ca="1">IF(D27&gt;1,PMT('ASSUM 1'!$S$42/2,'ASSUM 1'!$S$32*IF('ASSUM 1'!$S$34="semi",2,1),-(($C$20))),0)</f>
        <v>5204.7089220295165</v>
      </c>
      <c r="E30" s="351">
        <f ca="1">IF(E27&gt;1,PMT('ASSUM 1'!$S$42/2,'ASSUM 1'!$S$32*IF('ASSUM 1'!$S$34="semi",2,1),-(($C$20))),0)</f>
        <v>5204.7089220295165</v>
      </c>
      <c r="F30" s="351">
        <f ca="1">IF(F27&gt;1,PMT('ASSUM 1'!$S$42/2,'ASSUM 1'!$S$32*IF('ASSUM 1'!$S$34="semi",2,1),-(($C$20))),0)</f>
        <v>5204.7089220295165</v>
      </c>
      <c r="G30" s="351">
        <f ca="1">IF(G27&gt;1,PMT('ASSUM 1'!$S$42/2,'ASSUM 1'!$S$32*IF('ASSUM 1'!$S$34="semi",2,1),-(($C$20))),0)</f>
        <v>5204.7089220295165</v>
      </c>
      <c r="H30" s="351">
        <f ca="1">IF(H27&gt;1,PMT('ASSUM 1'!$S$42/2,'ASSUM 1'!$S$32*IF('ASSUM 1'!$S$34="semi",2,1),-(($C$20))),0)</f>
        <v>5204.7089220295165</v>
      </c>
      <c r="I30" s="351">
        <f ca="1">IF(I27&gt;1,PMT('ASSUM 1'!$S$42/2,'ASSUM 1'!$S$32*IF('ASSUM 1'!$S$34="semi",2,1),-(($C$20))),0)</f>
        <v>5204.7089220295165</v>
      </c>
      <c r="J30" s="351">
        <f ca="1">IF(J27&gt;1,PMT('ASSUM 1'!$S$42/2,'ASSUM 1'!$S$32*IF('ASSUM 1'!$S$34="semi",2,1),-(($C$20))),0)</f>
        <v>5204.7089220295165</v>
      </c>
      <c r="K30" s="351">
        <f ca="1">IF(K27&gt;1,PMT('ASSUM 1'!$S$42/2,'ASSUM 1'!$S$32*IF('ASSUM 1'!$S$34="semi",2,1),-(($C$20))),0)</f>
        <v>5204.7089220295165</v>
      </c>
      <c r="L30" s="351">
        <f ca="1">IF(L27&gt;1,PMT('ASSUM 1'!$S$42/2,'ASSUM 1'!$S$32*IF('ASSUM 1'!$S$34="semi",2,1),-(($C$20))),0)</f>
        <v>5204.7089220295165</v>
      </c>
      <c r="M30" s="351">
        <f ca="1">IF(M27&gt;1,PMT('ASSUM 1'!$S$42/2,'ASSUM 1'!$S$32*IF('ASSUM 1'!$S$34="semi",2,1),-(($C$20))),0)</f>
        <v>5204.7089220295165</v>
      </c>
      <c r="N30" s="351">
        <f ca="1">IF(N27&gt;1,PMT('ASSUM 1'!$S$42/2,'ASSUM 1'!$S$32*IF('ASSUM 1'!$S$34="semi",2,1),-(($C$20))),0)</f>
        <v>5204.7089220295165</v>
      </c>
      <c r="O30" s="351">
        <f ca="1">IF(O27&gt;1,PMT('ASSUM 1'!$S$42/2,'ASSUM 1'!$S$32*IF('ASSUM 1'!$S$34="semi",2,1),-(($C$20))),0)</f>
        <v>5204.7089220295165</v>
      </c>
      <c r="P30" s="351">
        <f ca="1">IF(P27&gt;1,PMT('ASSUM 1'!$S$42/2,'ASSUM 1'!$S$32*IF('ASSUM 1'!$S$34="semi",2,1),-(($C$20))),0)</f>
        <v>5204.7089220295165</v>
      </c>
      <c r="Q30" s="351">
        <f ca="1">IF(Q27&gt;1,PMT('ASSUM 1'!$S$42/2,'ASSUM 1'!$S$32*IF('ASSUM 1'!$S$34="semi",2,1),-(($C$20))),0)</f>
        <v>5204.7089220295165</v>
      </c>
      <c r="R30" s="351">
        <f ca="1">IF(R27&gt;1,PMT('ASSUM 1'!$S$42/2,'ASSUM 1'!$S$32*IF('ASSUM 1'!$S$34="semi",2,1),-(($C$20))),0)</f>
        <v>5204.7089220295165</v>
      </c>
      <c r="S30" s="351">
        <f ca="1">IF(S27&gt;1,PMT('ASSUM 1'!$S$42/2,'ASSUM 1'!$S$32*IF('ASSUM 1'!$S$34="semi",2,1),-(($C$20))),0)</f>
        <v>0</v>
      </c>
      <c r="T30" s="358"/>
    </row>
    <row r="31" spans="1:20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20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7138.8</v>
      </c>
      <c r="E34" s="351">
        <f t="shared" ca="1" si="6"/>
        <v>6899.4</v>
      </c>
      <c r="F34" s="351">
        <f t="shared" ca="1" si="6"/>
        <v>6659.1</v>
      </c>
      <c r="G34" s="351">
        <f t="shared" ca="1" si="6"/>
        <v>6355.62</v>
      </c>
      <c r="H34" s="351">
        <f t="shared" ca="1" si="6"/>
        <v>6085.08</v>
      </c>
      <c r="I34" s="351">
        <f t="shared" ca="1" si="6"/>
        <v>5956.38</v>
      </c>
      <c r="J34" s="351">
        <f t="shared" ca="1" si="6"/>
        <v>5556.78</v>
      </c>
      <c r="K34" s="351">
        <f t="shared" ca="1" si="6"/>
        <v>4897.9799999999996</v>
      </c>
      <c r="L34" s="351">
        <f t="shared" ca="1" si="6"/>
        <v>4184.28</v>
      </c>
      <c r="M34" s="351">
        <f t="shared" ca="1" si="6"/>
        <v>3500.28</v>
      </c>
      <c r="N34" s="351">
        <f t="shared" ca="1" si="6"/>
        <v>2825.28</v>
      </c>
      <c r="O34" s="351">
        <f t="shared" ca="1" si="6"/>
        <v>2177.2800000000002</v>
      </c>
      <c r="P34" s="351">
        <f t="shared" ca="1" si="6"/>
        <v>1538.28</v>
      </c>
      <c r="Q34" s="351">
        <f t="shared" ca="1" si="6"/>
        <v>935.28</v>
      </c>
      <c r="R34" s="351">
        <f t="shared" ca="1" si="6"/>
        <v>377.46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10198.799999999999</v>
      </c>
      <c r="E36" s="351">
        <f t="shared" ca="1" si="8"/>
        <v>9689.4</v>
      </c>
      <c r="F36" s="351">
        <f t="shared" ca="1" si="8"/>
        <v>10304.1</v>
      </c>
      <c r="G36" s="351">
        <f t="shared" ca="1" si="8"/>
        <v>10594.619999999999</v>
      </c>
      <c r="H36" s="351">
        <f t="shared" ca="1" si="8"/>
        <v>6895.08</v>
      </c>
      <c r="I36" s="351">
        <f t="shared" ca="1" si="8"/>
        <v>9961.380000000001</v>
      </c>
      <c r="J36" s="351">
        <f t="shared" ca="1" si="8"/>
        <v>13521.779999999999</v>
      </c>
      <c r="K36" s="351">
        <f t="shared" ca="1" si="8"/>
        <v>13942.98</v>
      </c>
      <c r="L36" s="351">
        <f t="shared" ca="1" si="8"/>
        <v>12734.279999999999</v>
      </c>
      <c r="M36" s="351">
        <f t="shared" ca="1" si="8"/>
        <v>12050.28</v>
      </c>
      <c r="N36" s="351">
        <f t="shared" ca="1" si="8"/>
        <v>10925.28</v>
      </c>
      <c r="O36" s="351">
        <f t="shared" ca="1" si="8"/>
        <v>10277.280000000001</v>
      </c>
      <c r="P36" s="351">
        <f t="shared" ca="1" si="8"/>
        <v>9188.2800000000007</v>
      </c>
      <c r="Q36" s="351">
        <f t="shared" ca="1" si="8"/>
        <v>8135.28</v>
      </c>
      <c r="R36" s="351">
        <f t="shared" ca="1" si="8"/>
        <v>6668.4600000000164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9607.2300000000014</v>
      </c>
      <c r="D40" s="351">
        <f t="shared" ref="D40:R40" ca="1" si="9">C42</f>
        <v>9536.4</v>
      </c>
      <c r="E40" s="351">
        <f t="shared" ca="1" si="9"/>
        <v>9488.9160000000011</v>
      </c>
      <c r="F40" s="351">
        <f t="shared" ca="1" si="9"/>
        <v>10255.392000000002</v>
      </c>
      <c r="G40" s="351">
        <f t="shared" ca="1" si="9"/>
        <v>10983.168</v>
      </c>
      <c r="H40" s="351">
        <f t="shared" ca="1" si="9"/>
        <v>11411.1</v>
      </c>
      <c r="I40" s="351">
        <f t="shared" ca="1" si="9"/>
        <v>12442.14</v>
      </c>
      <c r="J40" s="351">
        <f t="shared" ca="1" si="9"/>
        <v>12634.919999999998</v>
      </c>
      <c r="K40" s="351">
        <f t="shared" ca="1" si="9"/>
        <v>11986.019999999999</v>
      </c>
      <c r="L40" s="351">
        <f t="shared" ca="1" si="9"/>
        <v>11035.079999999996</v>
      </c>
      <c r="M40" s="351">
        <f t="shared" ca="1" si="9"/>
        <v>10115.280000000001</v>
      </c>
      <c r="N40" s="351">
        <f t="shared" ca="1" si="9"/>
        <v>9038.9160000000029</v>
      </c>
      <c r="O40" s="351">
        <f t="shared" ca="1" si="9"/>
        <v>6853.8600000000033</v>
      </c>
      <c r="P40" s="351">
        <f t="shared" ca="1" si="9"/>
        <v>5998.0050000000047</v>
      </c>
      <c r="Q40" s="351">
        <f t="shared" ca="1" si="9"/>
        <v>4934.5800000000054</v>
      </c>
      <c r="R40" s="351">
        <f t="shared" ca="1" si="9"/>
        <v>3334.2300000000082</v>
      </c>
      <c r="S40" s="351"/>
    </row>
    <row r="41" spans="1:23">
      <c r="A41" s="337" t="s">
        <v>328</v>
      </c>
      <c r="C41" s="364">
        <f ca="1">C40-((AVERAGE(D36:H36))*'ASSUM 1'!$Q$46/12)</f>
        <v>70.830000000001746</v>
      </c>
      <c r="D41" s="364">
        <f ca="1">D40-((AVERAGE(E36:I36))*'ASSUM 1'!$Q$46/12)</f>
        <v>47.483999999998559</v>
      </c>
      <c r="E41" s="364">
        <f ca="1">E40-((AVERAGE(F36:J36))*'ASSUM 1'!$Q$46/12)</f>
        <v>-766.47600000000057</v>
      </c>
      <c r="F41" s="364">
        <f ca="1">F40-((AVERAGE(G36:K36))*'ASSUM 1'!$Q$46/12)</f>
        <v>-727.77599999999802</v>
      </c>
      <c r="G41" s="364">
        <f ca="1">G40-((AVERAGE(H36:L36))*'ASSUM 1'!$Q$46/12)</f>
        <v>-427.9320000000007</v>
      </c>
      <c r="H41" s="364">
        <f ca="1">H40-((AVERAGE(I36:M36))*'ASSUM 1'!$Q$46/12)</f>
        <v>-1031.0399999999991</v>
      </c>
      <c r="I41" s="364">
        <f ca="1">I40-((AVERAGE(J36:N36))*'ASSUM 1'!$Q$46/12)</f>
        <v>-192.77999999999884</v>
      </c>
      <c r="J41" s="364">
        <f ca="1">J40-((AVERAGE(K36:O36))*'ASSUM 1'!$Q$46/12)</f>
        <v>648.89999999999964</v>
      </c>
      <c r="K41" s="364">
        <f ca="1">K40-((AVERAGE(L36:P36))*'ASSUM 1'!$Q$46/12)</f>
        <v>950.94000000000233</v>
      </c>
      <c r="L41" s="364">
        <f ca="1">L40-((AVERAGE(M36:Q36))*'ASSUM 1'!$Q$46/12)</f>
        <v>919.79999999999563</v>
      </c>
      <c r="M41" s="364">
        <f ca="1">M40-((AVERAGE(N36:R36))*'ASSUM 1'!$Q$46/12)</f>
        <v>1076.3639999999978</v>
      </c>
      <c r="N41" s="364">
        <f ca="1">N40-((AVERAGE(O36:S36))*'ASSUM 1'!$Q$46/12)</f>
        <v>2185.0559999999996</v>
      </c>
      <c r="O41" s="364">
        <f ca="1">O40-((AVERAGE(P36:T36))*'ASSUM 1'!$Q$46/12)</f>
        <v>855.85499999999865</v>
      </c>
      <c r="P41" s="364">
        <f ca="1">P40-((AVERAGE(Q36:U36))*'ASSUM 1'!$Q$46/12)</f>
        <v>1063.4249999999993</v>
      </c>
      <c r="Q41" s="364">
        <f ca="1">Q40-((AVERAGE(R36:V36))*'ASSUM 1'!$Q$46/12)</f>
        <v>1600.3499999999972</v>
      </c>
      <c r="R41" s="364">
        <f ca="1">R40-((AVERAGE(S36:W36))*'ASSUM 1'!$Q$46/12)</f>
        <v>3334.2300000000082</v>
      </c>
      <c r="S41" s="364"/>
    </row>
    <row r="42" spans="1:23">
      <c r="A42" s="337"/>
      <c r="C42" s="351">
        <f t="shared" ref="C42:R42" ca="1" si="10">C40-C41</f>
        <v>9536.4</v>
      </c>
      <c r="D42" s="351">
        <f t="shared" ca="1" si="10"/>
        <v>9488.9160000000011</v>
      </c>
      <c r="E42" s="351">
        <f t="shared" ca="1" si="10"/>
        <v>10255.392000000002</v>
      </c>
      <c r="F42" s="351">
        <f t="shared" ca="1" si="10"/>
        <v>10983.168</v>
      </c>
      <c r="G42" s="351">
        <f t="shared" ca="1" si="10"/>
        <v>11411.1</v>
      </c>
      <c r="H42" s="351">
        <f t="shared" ca="1" si="10"/>
        <v>12442.14</v>
      </c>
      <c r="I42" s="351">
        <f t="shared" ca="1" si="10"/>
        <v>12634.919999999998</v>
      </c>
      <c r="J42" s="351">
        <f t="shared" ca="1" si="10"/>
        <v>11986.019999999999</v>
      </c>
      <c r="K42" s="351">
        <f t="shared" ca="1" si="10"/>
        <v>11035.079999999996</v>
      </c>
      <c r="L42" s="351">
        <f t="shared" ca="1" si="10"/>
        <v>10115.280000000001</v>
      </c>
      <c r="M42" s="351">
        <f t="shared" ca="1" si="10"/>
        <v>9038.9160000000029</v>
      </c>
      <c r="N42" s="351">
        <f t="shared" ca="1" si="10"/>
        <v>6853.8600000000033</v>
      </c>
      <c r="O42" s="351">
        <f t="shared" ca="1" si="10"/>
        <v>5998.0050000000047</v>
      </c>
      <c r="P42" s="351">
        <f t="shared" ca="1" si="10"/>
        <v>4934.5800000000054</v>
      </c>
      <c r="Q42" s="351">
        <f t="shared" ca="1" si="10"/>
        <v>3334.2300000000082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76.291200000000003</v>
      </c>
      <c r="D44" s="351">
        <f ca="1">D42*'ASSUM 1'!$S$46</f>
        <v>75.911328000000012</v>
      </c>
      <c r="E44" s="351">
        <f ca="1">E42*'ASSUM 1'!$S$46</f>
        <v>82.043136000000018</v>
      </c>
      <c r="F44" s="351">
        <f ca="1">F42*'ASSUM 1'!$S$46</f>
        <v>87.865343999999993</v>
      </c>
      <c r="G44" s="351">
        <f ca="1">G42*'ASSUM 1'!$S$46</f>
        <v>91.288800000000009</v>
      </c>
      <c r="H44" s="351">
        <f ca="1">H42*'ASSUM 1'!$S$46</f>
        <v>99.537120000000002</v>
      </c>
      <c r="I44" s="351">
        <f ca="1">I42*'ASSUM 1'!$S$46</f>
        <v>101.07935999999999</v>
      </c>
      <c r="J44" s="351">
        <f ca="1">J42*'ASSUM 1'!$S$46</f>
        <v>95.888159999999985</v>
      </c>
      <c r="K44" s="351">
        <f ca="1">K42*'ASSUM 1'!$S$46</f>
        <v>88.280639999999977</v>
      </c>
      <c r="L44" s="351">
        <f ca="1">L42*'ASSUM 1'!$S$46</f>
        <v>80.922240000000002</v>
      </c>
      <c r="M44" s="351">
        <f ca="1">M42*'ASSUM 1'!$S$46</f>
        <v>72.311328000000032</v>
      </c>
      <c r="N44" s="351">
        <f ca="1">N42*'ASSUM 1'!$S$46</f>
        <v>54.830880000000029</v>
      </c>
      <c r="O44" s="351">
        <f ca="1">O42*'ASSUM 1'!$S$46</f>
        <v>47.984040000000036</v>
      </c>
      <c r="P44" s="351">
        <f ca="1">P42*'ASSUM 1'!$S$46</f>
        <v>39.476640000000046</v>
      </c>
      <c r="Q44" s="351">
        <f ca="1">Q42*'ASSUM 1'!$S$46</f>
        <v>26.673840000000066</v>
      </c>
      <c r="R44" s="351">
        <f ca="1">R42*'ASSUM 1'!$S$46</f>
        <v>0</v>
      </c>
      <c r="S44" s="351"/>
    </row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440545.50000000012</v>
      </c>
      <c r="C48" s="778">
        <f ca="1">C47*C28</f>
        <v>0</v>
      </c>
      <c r="D48" s="778">
        <f t="shared" ref="D48:W48" ca="1" si="11">D47*D28</f>
        <v>2295</v>
      </c>
      <c r="E48" s="778">
        <f t="shared" ca="1" si="11"/>
        <v>3487.5</v>
      </c>
      <c r="F48" s="778">
        <f t="shared" ca="1" si="11"/>
        <v>6378.75</v>
      </c>
      <c r="G48" s="778">
        <f t="shared" ca="1" si="11"/>
        <v>9537.75</v>
      </c>
      <c r="H48" s="778">
        <f t="shared" ca="1" si="11"/>
        <v>2227.4999999999995</v>
      </c>
      <c r="I48" s="778">
        <f t="shared" ca="1" si="11"/>
        <v>13016.25</v>
      </c>
      <c r="J48" s="778">
        <f t="shared" ca="1" si="11"/>
        <v>29868.75</v>
      </c>
      <c r="K48" s="778">
        <f t="shared" ca="1" si="11"/>
        <v>38441.25</v>
      </c>
      <c r="L48" s="778">
        <f t="shared" ca="1" si="11"/>
        <v>40612.5</v>
      </c>
      <c r="M48" s="778">
        <f t="shared" ca="1" si="11"/>
        <v>44887.5</v>
      </c>
      <c r="N48" s="778">
        <f t="shared" ca="1" si="11"/>
        <v>46575</v>
      </c>
      <c r="O48" s="778">
        <f t="shared" ca="1" si="11"/>
        <v>50625</v>
      </c>
      <c r="P48" s="778">
        <f t="shared" ca="1" si="11"/>
        <v>51637.500000000007</v>
      </c>
      <c r="Q48" s="778">
        <f t="shared" ca="1" si="11"/>
        <v>52200</v>
      </c>
      <c r="R48" s="778">
        <f t="shared" ca="1" si="11"/>
        <v>48755.250000000124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9.5399000000000029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2"/>
  <sheetViews>
    <sheetView showOutlineSymbols="0" view="pageBreakPreview" topLeftCell="A9" zoomScale="60" zoomScaleNormal="75" workbookViewId="0">
      <selection activeCell="C9" sqref="C9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26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26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26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26">
      <c r="A4" s="368"/>
      <c r="B4" s="367"/>
      <c r="C4" s="376"/>
      <c r="D4" s="376"/>
      <c r="E4" s="376"/>
      <c r="F4" s="376"/>
      <c r="G4" s="376"/>
      <c r="H4" s="376"/>
      <c r="I4" s="376"/>
    </row>
    <row r="5" spans="1:26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26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26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26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26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26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26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26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26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26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26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26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26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26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26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26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26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26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26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26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26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26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26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26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26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26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26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26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9.6072300000000013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21.045849009690389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169.52029878988398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33"/>
  <sheetViews>
    <sheetView showOutlineSymbols="0" topLeftCell="A101" zoomScale="75" zoomScaleNormal="75" workbookViewId="0">
      <selection activeCell="D69" sqref="D69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21.045849009690389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-85.203585517745282</v>
      </c>
      <c r="J65" s="427">
        <f t="shared" ca="1" si="3"/>
        <v>-48.355779518811751</v>
      </c>
      <c r="K65" s="427">
        <f t="shared" ca="1" si="3"/>
        <v>-24.686247591136759</v>
      </c>
      <c r="L65" s="427">
        <f t="shared" ca="1" si="3"/>
        <v>-8.4840391509236728</v>
      </c>
      <c r="M65" s="427">
        <f t="shared" ca="1" si="3"/>
        <v>-8.4840391509236728</v>
      </c>
      <c r="N65" s="427">
        <f t="shared" ca="1" si="3"/>
        <v>-8.4840391509236728</v>
      </c>
      <c r="O65" s="427">
        <f t="shared" ca="1" si="3"/>
        <v>3591.5159608490762</v>
      </c>
      <c r="P65" s="427">
        <f t="shared" ca="1" si="3"/>
        <v>-8.4840391509236728</v>
      </c>
      <c r="Q65" s="427">
        <f t="shared" ca="1" si="3"/>
        <v>-8.4840391509236728</v>
      </c>
      <c r="R65" s="427">
        <f t="shared" ca="1" si="3"/>
        <v>-8.4840391509236728</v>
      </c>
      <c r="S65" s="427">
        <f t="shared" ca="1" si="3"/>
        <v>-8.4840391509236728</v>
      </c>
      <c r="T65" s="427">
        <f t="shared" ca="1" si="3"/>
        <v>-8.4840391509236728</v>
      </c>
      <c r="U65" s="427">
        <f t="shared" ca="1" si="3"/>
        <v>-8.4840391509236728</v>
      </c>
      <c r="V65" s="427">
        <f t="shared" ca="1" si="3"/>
        <v>-8.4840391509236728</v>
      </c>
      <c r="W65" s="427">
        <f t="shared" ca="1" si="3"/>
        <v>-8.4840391509236728</v>
      </c>
      <c r="X65" s="427">
        <f t="shared" ca="1" si="3"/>
        <v>-8.4840391509236728</v>
      </c>
      <c r="Y65" s="427">
        <f t="shared" ca="1" si="3"/>
        <v>-8.4840391509236728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87963.830603778319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69551.139475741133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84879.446025365003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-43768.236040782307</v>
      </c>
      <c r="J69" s="437">
        <f t="shared" ca="1" si="5"/>
        <v>-48.355779518811751</v>
      </c>
      <c r="K69" s="437">
        <f t="shared" ca="1" si="5"/>
        <v>-24.686247591136759</v>
      </c>
      <c r="L69" s="437">
        <f t="shared" ca="1" si="5"/>
        <v>2635.5859608490764</v>
      </c>
      <c r="M69" s="437">
        <f t="shared" ca="1" si="5"/>
        <v>6524.1159865002192</v>
      </c>
      <c r="N69" s="437">
        <f t="shared" ca="1" si="5"/>
        <v>9676.1917296340453</v>
      </c>
      <c r="O69" s="437">
        <f t="shared" ca="1" si="5"/>
        <v>13276.191729634045</v>
      </c>
      <c r="P69" s="437">
        <f t="shared" ca="1" si="5"/>
        <v>17079.673269017472</v>
      </c>
      <c r="Q69" s="437">
        <f t="shared" ca="1" si="5"/>
        <v>11400.25751562318</v>
      </c>
      <c r="R69" s="437">
        <f t="shared" ca="1" si="5"/>
        <v>11400.25751562318</v>
      </c>
      <c r="S69" s="437">
        <f t="shared" ca="1" si="5"/>
        <v>13096.322166017002</v>
      </c>
      <c r="T69" s="437">
        <f t="shared" ca="1" si="5"/>
        <v>-8.4840391509236728</v>
      </c>
      <c r="U69" s="437">
        <f t="shared" ca="1" si="5"/>
        <v>-8.4840391509236728</v>
      </c>
      <c r="V69" s="437">
        <f t="shared" ca="1" si="5"/>
        <v>-8.4840391509236728</v>
      </c>
      <c r="W69" s="437">
        <f t="shared" ca="1" si="5"/>
        <v>-8.4840391509236728</v>
      </c>
      <c r="X69" s="437">
        <f t="shared" ca="1" si="5"/>
        <v>-8.4840391509236728</v>
      </c>
      <c r="Y69" s="437">
        <f t="shared" ca="1" si="5"/>
        <v>-8.4840391509236728</v>
      </c>
      <c r="Z69" s="403"/>
      <c r="AA69" s="403"/>
    </row>
    <row r="70" spans="1:27">
      <c r="A70" s="418" t="s">
        <v>337</v>
      </c>
      <c r="B70" s="418"/>
      <c r="C70" s="438">
        <f ca="1">C68+C69</f>
        <v>172843.27662914334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25782.903434958826</v>
      </c>
      <c r="J70" s="440">
        <f t="shared" ca="1" si="6"/>
        <v>8795.1176602252381</v>
      </c>
      <c r="K70" s="440">
        <f t="shared" ca="1" si="6"/>
        <v>5656.0014150508623</v>
      </c>
      <c r="L70" s="440">
        <f t="shared" ca="1" si="6"/>
        <v>6524.1159865002192</v>
      </c>
      <c r="M70" s="440">
        <f t="shared" ca="1" si="6"/>
        <v>6524.1159865002192</v>
      </c>
      <c r="N70" s="440">
        <f t="shared" ca="1" si="6"/>
        <v>9676.1917296340453</v>
      </c>
      <c r="O70" s="440">
        <f t="shared" ca="1" si="6"/>
        <v>13276.191729634045</v>
      </c>
      <c r="P70" s="440">
        <f t="shared" ca="1" si="6"/>
        <v>17079.673269017472</v>
      </c>
      <c r="Q70" s="440">
        <f t="shared" ca="1" si="6"/>
        <v>11400.25751562318</v>
      </c>
      <c r="R70" s="440">
        <f t="shared" ca="1" si="6"/>
        <v>11400.25751562318</v>
      </c>
      <c r="S70" s="440">
        <f t="shared" ca="1" si="6"/>
        <v>13096.322166017002</v>
      </c>
      <c r="T70" s="440">
        <f t="shared" ca="1" si="6"/>
        <v>-8.4840391509236728</v>
      </c>
      <c r="U70" s="440">
        <f t="shared" ca="1" si="6"/>
        <v>-8.4840391509236728</v>
      </c>
      <c r="V70" s="440">
        <f t="shared" ca="1" si="6"/>
        <v>-8.4840391509236728</v>
      </c>
      <c r="W70" s="440">
        <f t="shared" ca="1" si="6"/>
        <v>-8.4840391509236728</v>
      </c>
      <c r="X70" s="440">
        <f t="shared" ca="1" si="6"/>
        <v>-8.4840391509236728</v>
      </c>
      <c r="Y70" s="440">
        <f t="shared" ca="1" si="6"/>
        <v>-8.4840391509236728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169.52029878988398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25868.107020476571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44280.798148513757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25868.107020476571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134467.78602636224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25868.107020476571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69551.139475741133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69551.139475741133</v>
      </c>
      <c r="J103" s="427">
        <f ca="1">SUM($D$102:J102)</f>
        <v>78394.612915485181</v>
      </c>
      <c r="K103" s="427">
        <f ca="1">SUM($D$102:K102)</f>
        <v>84075.300578127179</v>
      </c>
      <c r="L103" s="453">
        <f ca="1">SUM($D$102:L102)</f>
        <v>87963.830603778319</v>
      </c>
      <c r="M103" s="427">
        <f ca="1">SUM($D$102:M102)</f>
        <v>87963.830603778319</v>
      </c>
      <c r="N103" s="427">
        <f ca="1">SUM($D$102:N102)</f>
        <v>87963.830603778319</v>
      </c>
      <c r="O103" s="427">
        <f ca="1">SUM($D$102:O102)</f>
        <v>87963.830603778319</v>
      </c>
      <c r="P103" s="427">
        <f ca="1">SUM($D$102:P102)</f>
        <v>87963.830603778319</v>
      </c>
      <c r="Q103" s="427">
        <f ca="1">SUM($D$102:Q102)</f>
        <v>87963.830603778319</v>
      </c>
      <c r="R103" s="427">
        <f ca="1">SUM($D$102:R102)</f>
        <v>87963.830603778319</v>
      </c>
      <c r="S103" s="427">
        <f ca="1">SUM($D$102:S102)</f>
        <v>87963.830603778319</v>
      </c>
      <c r="T103" s="427">
        <f ca="1">SUM($D$102:T102)</f>
        <v>87963.830603778319</v>
      </c>
      <c r="U103" s="427">
        <f ca="1">SUM($D$102:U102)</f>
        <v>87963.830603778319</v>
      </c>
      <c r="V103" s="427">
        <f ca="1">SUM($D$102:V102)</f>
        <v>87963.830603778319</v>
      </c>
      <c r="W103" s="427">
        <f ca="1">SUM($D$102:W102)</f>
        <v>87963.830603778319</v>
      </c>
      <c r="X103" s="427">
        <f ca="1">SUM($D$102:X102)</f>
        <v>87963.830603778319</v>
      </c>
      <c r="Y103" s="427">
        <f ca="1">SUM($D$102:Y102)</f>
        <v>87963.830603778319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20448.860524258867</v>
      </c>
      <c r="J104" s="427">
        <f t="shared" ca="1" si="12"/>
        <v>11605.387084514819</v>
      </c>
      <c r="K104" s="427">
        <f t="shared" ca="1" si="12"/>
        <v>5924.6994218728214</v>
      </c>
      <c r="L104" s="427">
        <f t="shared" ca="1" si="12"/>
        <v>2036.1693962216814</v>
      </c>
      <c r="M104" s="427">
        <f t="shared" ca="1" si="12"/>
        <v>2036.1693962216814</v>
      </c>
      <c r="N104" s="427">
        <f t="shared" ca="1" si="12"/>
        <v>2036.1693962216814</v>
      </c>
      <c r="O104" s="427">
        <f t="shared" ca="1" si="12"/>
        <v>2036.1693962216814</v>
      </c>
      <c r="P104" s="427">
        <f t="shared" ca="1" si="12"/>
        <v>2036.1693962216814</v>
      </c>
      <c r="Q104" s="427">
        <f t="shared" ca="1" si="12"/>
        <v>2036.1693962216814</v>
      </c>
      <c r="R104" s="427">
        <f t="shared" ca="1" si="12"/>
        <v>2036.1693962216814</v>
      </c>
      <c r="S104" s="427">
        <f t="shared" ca="1" si="12"/>
        <v>2036.1693962216814</v>
      </c>
      <c r="T104" s="427">
        <f t="shared" ca="1" si="12"/>
        <v>2036.1693962216814</v>
      </c>
      <c r="U104" s="427">
        <f t="shared" ca="1" si="12"/>
        <v>2036.1693962216814</v>
      </c>
      <c r="V104" s="427">
        <f t="shared" ca="1" si="12"/>
        <v>2036.1693962216814</v>
      </c>
      <c r="W104" s="427">
        <f t="shared" ca="1" si="12"/>
        <v>2036.1693962216814</v>
      </c>
      <c r="X104" s="427">
        <f t="shared" ca="1" si="12"/>
        <v>2036.1693962216814</v>
      </c>
      <c r="Y104" s="427">
        <f t="shared" ca="1" si="12"/>
        <v>2036.1693962216814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0.08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3600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3600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85.203585517745282</v>
      </c>
      <c r="J111" s="427">
        <f ca="1">IF(J9&gt;=1,+J104*'ASSUM 1'!S43/12,0)</f>
        <v>48.355779518811751</v>
      </c>
      <c r="K111" s="427">
        <f ca="1">IF(K9&gt;=1,+K104*'ASSUM 1'!S43/12,0)</f>
        <v>24.686247591136759</v>
      </c>
      <c r="L111" s="427">
        <f ca="1">IF(L9&gt;=1,+L104*'ASSUM 1'!S43/12,0)</f>
        <v>8.4840391509236728</v>
      </c>
      <c r="M111" s="427">
        <f ca="1">IF(M9&gt;=1,+M104*'ASSUM 1'!S43/12,0)</f>
        <v>8.4840391509236728</v>
      </c>
      <c r="N111" s="427">
        <f ca="1">IF(N9&gt;=1,+N104*'ASSUM 1'!S43/12,0)</f>
        <v>8.4840391509236728</v>
      </c>
      <c r="O111" s="427">
        <f ca="1">IF(O9&gt;=1,+O104*'ASSUM 1'!S43/12,0)</f>
        <v>8.4840391509236728</v>
      </c>
      <c r="P111" s="427">
        <f ca="1">IF(P9&gt;=1,+P104*'ASSUM 1'!S43/12,0)</f>
        <v>8.4840391509236728</v>
      </c>
      <c r="Q111" s="427">
        <f ca="1">IF(Q9&gt;=1,+Q104*'ASSUM 1'!S43/12,0)</f>
        <v>8.4840391509236728</v>
      </c>
      <c r="R111" s="427">
        <f ca="1">IF(R9&gt;=1,+R104*'ASSUM 1'!S43/12,0)</f>
        <v>8.4840391509236728</v>
      </c>
      <c r="S111" s="427">
        <f ca="1">IF(S9&gt;=1,+S104*'ASSUM 1'!S43/12,0)</f>
        <v>8.4840391509236728</v>
      </c>
      <c r="T111" s="427">
        <f ca="1">IF(T9&gt;=1,+T104*'ASSUM 1'!S43/12,0)</f>
        <v>8.4840391509236728</v>
      </c>
      <c r="U111" s="427">
        <f ca="1">IF(U9&gt;=1,+U104*'ASSUM 1'!S43/12,0)</f>
        <v>8.4840391509236728</v>
      </c>
      <c r="V111" s="427">
        <f ca="1">IF(V9&gt;=1,+V104*'ASSUM 1'!S43/12,0)</f>
        <v>8.4840391509236728</v>
      </c>
      <c r="W111" s="427">
        <f ca="1">IF(W9&gt;=1,+W104*'ASSUM 1'!S43/12,0)</f>
        <v>8.4840391509236728</v>
      </c>
      <c r="X111" s="427">
        <f ca="1">IF(X9&gt;=1,+X104*'ASSUM 1'!S43/12,0)</f>
        <v>8.4840391509236728</v>
      </c>
      <c r="Y111" s="427">
        <f ca="1">IF(Y9&gt;=1,+Y104*'ASSUM 1'!S43/12,0)</f>
        <v>8.4840391509236728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3600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-85.203585517745282</v>
      </c>
      <c r="J113" s="427">
        <f t="shared" ca="1" si="17"/>
        <v>-48.355779518811751</v>
      </c>
      <c r="K113" s="427">
        <f t="shared" ca="1" si="17"/>
        <v>-24.686247591136759</v>
      </c>
      <c r="L113" s="427">
        <f t="shared" ca="1" si="17"/>
        <v>-8.4840391509236728</v>
      </c>
      <c r="M113" s="427">
        <f t="shared" ca="1" si="17"/>
        <v>-8.4840391509236728</v>
      </c>
      <c r="N113" s="427">
        <f t="shared" ca="1" si="17"/>
        <v>-8.4840391509236728</v>
      </c>
      <c r="O113" s="427">
        <f t="shared" ca="1" si="17"/>
        <v>3591.5159608490762</v>
      </c>
      <c r="P113" s="427">
        <f t="shared" ca="1" si="17"/>
        <v>-8.4840391509236728</v>
      </c>
      <c r="Q113" s="427">
        <f t="shared" ca="1" si="17"/>
        <v>-8.4840391509236728</v>
      </c>
      <c r="R113" s="427">
        <f t="shared" ca="1" si="17"/>
        <v>-8.4840391509236728</v>
      </c>
      <c r="S113" s="427">
        <f t="shared" ca="1" si="17"/>
        <v>-8.4840391509236728</v>
      </c>
      <c r="T113" s="427">
        <f t="shared" ca="1" si="17"/>
        <v>-8.4840391509236728</v>
      </c>
      <c r="U113" s="427">
        <f t="shared" ca="1" si="17"/>
        <v>-8.4840391509236728</v>
      </c>
      <c r="V113" s="427">
        <f t="shared" ca="1" si="17"/>
        <v>-8.4840391509236728</v>
      </c>
      <c r="W113" s="427">
        <f t="shared" ca="1" si="17"/>
        <v>-8.4840391509236728</v>
      </c>
      <c r="X113" s="427">
        <f t="shared" ca="1" si="17"/>
        <v>-8.4840391509236728</v>
      </c>
      <c r="Y113" s="427">
        <f t="shared" ca="1" si="17"/>
        <v>-8.4840391509236728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3322.9778392593739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172843.27662914325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25782.903434958826</v>
      </c>
      <c r="J121" s="427">
        <f t="shared" ca="1" si="18"/>
        <v>8795.1176602252381</v>
      </c>
      <c r="K121" s="427">
        <f t="shared" ca="1" si="18"/>
        <v>5656.0014150508623</v>
      </c>
      <c r="L121" s="427">
        <f t="shared" ca="1" si="18"/>
        <v>6524.1159865002192</v>
      </c>
      <c r="M121" s="427">
        <f t="shared" ca="1" si="18"/>
        <v>6524.1159865002192</v>
      </c>
      <c r="N121" s="427">
        <f t="shared" ca="1" si="18"/>
        <v>9676.1917296340453</v>
      </c>
      <c r="O121" s="427">
        <f t="shared" ca="1" si="18"/>
        <v>13276.191729634045</v>
      </c>
      <c r="P121" s="427">
        <f t="shared" ca="1" si="18"/>
        <v>17079.673269017472</v>
      </c>
      <c r="Q121" s="427">
        <f t="shared" ca="1" si="18"/>
        <v>11400.25751562318</v>
      </c>
      <c r="R121" s="427">
        <f t="shared" ca="1" si="18"/>
        <v>11400.25751562318</v>
      </c>
      <c r="S121" s="427">
        <f t="shared" ca="1" si="18"/>
        <v>13096.322166017002</v>
      </c>
      <c r="T121" s="427">
        <f t="shared" ca="1" si="18"/>
        <v>-8.4840391509236728</v>
      </c>
      <c r="U121" s="427">
        <f t="shared" ca="1" si="18"/>
        <v>-8.4840391509236728</v>
      </c>
      <c r="V121" s="427">
        <f t="shared" ca="1" si="18"/>
        <v>-8.4840391509236728</v>
      </c>
      <c r="W121" s="427">
        <f t="shared" ca="1" si="18"/>
        <v>-8.4840391509236728</v>
      </c>
      <c r="X121" s="427">
        <f t="shared" ca="1" si="18"/>
        <v>-8.4840391509236728</v>
      </c>
      <c r="Y121" s="427">
        <f t="shared" ca="1" si="18"/>
        <v>-8.4840391509236728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69465.935890223394</v>
      </c>
      <c r="J122" s="427">
        <f t="shared" ca="1" si="19"/>
        <v>78261.053550448632</v>
      </c>
      <c r="K122" s="427">
        <f t="shared" ca="1" si="19"/>
        <v>83917.054965499497</v>
      </c>
      <c r="L122" s="427">
        <f t="shared" ca="1" si="19"/>
        <v>90441.170951999724</v>
      </c>
      <c r="M122" s="427">
        <f t="shared" ca="1" si="19"/>
        <v>96965.28693849995</v>
      </c>
      <c r="N122" s="427">
        <f t="shared" ca="1" si="19"/>
        <v>106641.47866813399</v>
      </c>
      <c r="O122" s="427">
        <f t="shared" ca="1" si="19"/>
        <v>119917.67039776803</v>
      </c>
      <c r="P122" s="427">
        <f t="shared" ca="1" si="19"/>
        <v>136997.34366678551</v>
      </c>
      <c r="Q122" s="427">
        <f t="shared" ca="1" si="19"/>
        <v>148397.60118240869</v>
      </c>
      <c r="R122" s="427">
        <f t="shared" ca="1" si="19"/>
        <v>159797.85869803187</v>
      </c>
      <c r="S122" s="427">
        <f t="shared" ca="1" si="19"/>
        <v>172894.18086404886</v>
      </c>
      <c r="T122" s="427">
        <f t="shared" ca="1" si="19"/>
        <v>172885.69682489792</v>
      </c>
      <c r="U122" s="427">
        <f t="shared" ca="1" si="19"/>
        <v>172877.21278574699</v>
      </c>
      <c r="V122" s="427">
        <f t="shared" ca="1" si="19"/>
        <v>172868.72874659605</v>
      </c>
      <c r="W122" s="427">
        <f t="shared" ca="1" si="19"/>
        <v>172860.24470744512</v>
      </c>
      <c r="X122" s="427">
        <f t="shared" ca="1" si="19"/>
        <v>172851.76066829418</v>
      </c>
      <c r="Y122" s="427">
        <f t="shared" ca="1" si="19"/>
        <v>172843.27662914325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40008.297198594351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-43768.236040782307</v>
      </c>
      <c r="J125" s="467">
        <f ca="1">-IF(J101&gt;0,SUM($D$124:I125),0)+IF(YEAR(J$8)=$B$125,J$78+J113,0)</f>
        <v>-48.355779518811751</v>
      </c>
      <c r="K125" s="467">
        <f ca="1">-IF(K101&gt;0,SUM($D$124:J125),0)+IF(YEAR(K$8)=$B$125,K$78+K113,0)</f>
        <v>-24.686247591136759</v>
      </c>
      <c r="L125" s="467">
        <f ca="1">-IF(L101&gt;0,SUM($D$124:K125),0)+IF(YEAR(L$8)=$B$125,L$78+L113,0)</f>
        <v>2635.5859608490764</v>
      </c>
      <c r="M125" s="467">
        <f ca="1">-IF(M101&gt;0,SUM($D$124:L125),0)+IF(YEAR(M$8)=$B$125,M$78+M113,0)</f>
        <v>6524.1159865002192</v>
      </c>
      <c r="N125" s="467">
        <f ca="1">-IF(N101&gt;0,SUM($D$124:M125),0)+IF(YEAR(N$8)=$B$125,N$78+N113,0)</f>
        <v>9676.1917296340453</v>
      </c>
      <c r="O125" s="467">
        <f ca="1">-IF(O101&gt;0,SUM($D$124:N125),0)+IF(YEAR(O$8)=$B$125,O$78+O113,0)</f>
        <v>13276.191729634045</v>
      </c>
      <c r="P125" s="467">
        <f ca="1">-IF(P101&gt;0,SUM($D$124:O125),0)+IF(YEAR(P$8)=$B$125,P$78+P113,0)</f>
        <v>17079.673269017472</v>
      </c>
      <c r="Q125" s="467">
        <f ca="1">-IF(Q101&gt;0,SUM($D$124:P125),0)+IF(YEAR(Q$8)=$B$125,Q$78+Q113,0)</f>
        <v>11400.25751562318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24445.675446734636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11400.25751562318</v>
      </c>
      <c r="S126" s="437">
        <f t="shared" ca="1" si="21"/>
        <v>13096.322166017002</v>
      </c>
      <c r="T126" s="437">
        <f t="shared" ca="1" si="21"/>
        <v>-8.4840391509236728</v>
      </c>
      <c r="U126" s="437">
        <f t="shared" ca="1" si="21"/>
        <v>-8.4840391509236728</v>
      </c>
      <c r="V126" s="437">
        <f t="shared" ca="1" si="21"/>
        <v>-8.4840391509236728</v>
      </c>
      <c r="W126" s="437">
        <f t="shared" ca="1" si="21"/>
        <v>-8.4840391509236728</v>
      </c>
      <c r="X126" s="437">
        <f t="shared" ca="1" si="21"/>
        <v>-8.4840391509236728</v>
      </c>
      <c r="Y126" s="437">
        <f t="shared" ca="1" si="21"/>
        <v>-8.4840391509236728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84879.446025364989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-43768.236040782307</v>
      </c>
      <c r="J127" s="427">
        <f t="shared" ca="1" si="22"/>
        <v>-48.355779518811751</v>
      </c>
      <c r="K127" s="427">
        <f t="shared" ca="1" si="22"/>
        <v>-24.686247591136759</v>
      </c>
      <c r="L127" s="427">
        <f t="shared" ca="1" si="22"/>
        <v>2635.5859608490764</v>
      </c>
      <c r="M127" s="427">
        <f t="shared" ca="1" si="22"/>
        <v>6524.1159865002192</v>
      </c>
      <c r="N127" s="427">
        <f t="shared" ca="1" si="22"/>
        <v>9676.1917296340453</v>
      </c>
      <c r="O127" s="427">
        <f t="shared" ca="1" si="22"/>
        <v>13276.191729634045</v>
      </c>
      <c r="P127" s="427">
        <f t="shared" ca="1" si="22"/>
        <v>17079.673269017472</v>
      </c>
      <c r="Q127" s="427">
        <f t="shared" ca="1" si="22"/>
        <v>11400.25751562318</v>
      </c>
      <c r="R127" s="427">
        <f t="shared" ca="1" si="22"/>
        <v>11400.25751562318</v>
      </c>
      <c r="S127" s="427">
        <f t="shared" ca="1" si="22"/>
        <v>13096.322166017002</v>
      </c>
      <c r="T127" s="427">
        <f t="shared" ca="1" si="22"/>
        <v>-8.4840391509236728</v>
      </c>
      <c r="U127" s="427">
        <f t="shared" ca="1" si="22"/>
        <v>-8.4840391509236728</v>
      </c>
      <c r="V127" s="427">
        <f t="shared" ca="1" si="22"/>
        <v>-8.4840391509236728</v>
      </c>
      <c r="W127" s="427">
        <f t="shared" ca="1" si="22"/>
        <v>-8.4840391509236728</v>
      </c>
      <c r="X127" s="427">
        <f t="shared" ca="1" si="22"/>
        <v>-8.4840391509236728</v>
      </c>
      <c r="Y127" s="427">
        <f t="shared" ca="1" si="22"/>
        <v>-8.4840391509236728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13560.87702047657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13560.87702047657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1"/>
  <sheetViews>
    <sheetView showOutlineSymbols="0" view="pageBreakPreview" topLeftCell="A43" zoomScale="60" zoomScaleNormal="75" workbookViewId="0">
      <selection activeCell="A43" sqref="A1:IV65536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27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27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27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27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27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27">
      <c r="B6" s="472"/>
      <c r="C6" s="472"/>
      <c r="D6" s="472"/>
      <c r="E6" s="485"/>
      <c r="AA6" s="484"/>
    </row>
    <row r="7" spans="1:27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27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27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27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27">
      <c r="A11" s="490"/>
      <c r="B11" s="491" t="s">
        <v>366</v>
      </c>
      <c r="C11" s="491" t="s">
        <v>367</v>
      </c>
      <c r="D11" s="488"/>
      <c r="E11" s="491"/>
      <c r="AA11" s="484"/>
    </row>
    <row r="12" spans="1:27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27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27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27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27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27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27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27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27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27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27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27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27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27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27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27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27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27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27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27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27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3.3229778392593738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68.01416630063045</v>
      </c>
      <c r="G63" s="500">
        <f ca="1">IF(SUM($F63:F63)&lt;$C63*1000,MIN(+$C63*$E63*1000,$C63*1000-SUM($F63:F63)),0)</f>
        <v>116.59571365822363</v>
      </c>
      <c r="H63" s="500">
        <f ca="1">IF(SUM($F63:G63)&lt;$C63*1000,MIN(+$C63*$E63*1000,$C63*1000-SUM($F63:G63)),0)</f>
        <v>116.59571365822363</v>
      </c>
      <c r="I63" s="500">
        <f ca="1">IF(SUM($F63:H63)&lt;$C63*1000,MIN(+$C63*$E63*1000,$C63*1000-SUM($F63:H63)),0)</f>
        <v>116.59571365822363</v>
      </c>
      <c r="J63" s="500">
        <f ca="1">IF(SUM($F63:I63)&lt;$C63*1000,MIN(+$C63*$E63*1000,$C63*1000-SUM($F63:I63)),0)</f>
        <v>116.59571365822363</v>
      </c>
      <c r="K63" s="500">
        <f ca="1">IF(SUM($F63:J63)&lt;$C63*1000,MIN(+$C63*$E63*1000,$C63*1000-SUM($F63:J63)),0)</f>
        <v>116.59571365822363</v>
      </c>
      <c r="L63" s="500">
        <f ca="1">IF(SUM($F63:K63)&lt;$C63*1000,MIN(+$C63*$E63*1000,$C63*1000-SUM($F63:K63)),0)</f>
        <v>116.59571365822363</v>
      </c>
      <c r="M63" s="500">
        <f ca="1">IF(SUM($F63:L63)&lt;$C63*1000,MIN(+$C63*$E63*1000,$C63*1000-SUM($F63:L63)),0)</f>
        <v>116.59571365822363</v>
      </c>
      <c r="N63" s="500">
        <f ca="1">IF(SUM($F63:M63)&lt;$C63*1000,MIN(+$C63*$E63*1000,$C63*1000-SUM($F63:M63)),0)</f>
        <v>116.59571365822363</v>
      </c>
      <c r="O63" s="500">
        <f ca="1">IF(SUM($F63:N63)&lt;$C63*1000,MIN(+$C63*$E63*1000,$C63*1000-SUM($F63:N63)),0)</f>
        <v>116.59571365822363</v>
      </c>
      <c r="P63" s="500">
        <f ca="1">IF(SUM($F63:O63)&lt;$C63*1000,MIN(+$C63*$E63*1000,$C63*1000-SUM($F63:O63)),0)</f>
        <v>116.59571365822363</v>
      </c>
      <c r="Q63" s="500">
        <f ca="1">IF(SUM($F63:P63)&lt;$C63*1000,MIN(+$C63*$E63*1000,$C63*1000-SUM($F63:P63)),0)</f>
        <v>116.59571365822363</v>
      </c>
      <c r="R63" s="500">
        <f ca="1">IF(SUM($F63:Q63)&lt;$C63*1000,MIN(+$C63*$E63*1000,$C63*1000-SUM($F63:Q63)),0)</f>
        <v>116.59571365822363</v>
      </c>
      <c r="S63" s="500">
        <f ca="1">IF(SUM($F63:R63)&lt;$C63*1000,MIN(+$C63*$E63*1000,$C63*1000-SUM($F63:R63)),0)</f>
        <v>116.59571365822363</v>
      </c>
      <c r="T63" s="500">
        <f ca="1">IF(SUM($F63:S63)&lt;$C63*1000,MIN(+$C63*$E63*1000,$C63*1000-SUM($F63:S63)),0)</f>
        <v>116.59571365822363</v>
      </c>
      <c r="U63" s="500">
        <f ca="1">IF(SUM($F63:T63)&lt;$C63*1000,MIN(+$C63*$E63*1000,$C63*1000-SUM($F63:T63)),0)</f>
        <v>116.59571365822363</v>
      </c>
      <c r="V63" s="500">
        <f ca="1">IF(SUM($F63:U63)&lt;$C63*1000,MIN(+$C63*$E63*1000,$C63*1000-SUM($F63:U63)),0)</f>
        <v>116.59571365822363</v>
      </c>
      <c r="W63" s="500">
        <f ca="1">IF(SUM($F63:V63)&lt;$C63*1000,MIN(+$C63*$E63*1000,$C63*1000-SUM($F63:V63)),0)</f>
        <v>116.59571365822363</v>
      </c>
      <c r="X63" s="500">
        <f ca="1">IF(SUM($F63:W63)&lt;$C63*1000,MIN(+$C63*$E63*1000,$C63*1000-SUM($F63:W63)),0)</f>
        <v>116.59571365822363</v>
      </c>
      <c r="Y63" s="500">
        <f ca="1">IF(SUM($F63:X63)&lt;$C63*1000,MIN(+$C63*$E63*1000,$C63*1000-SUM($F63:X63)),0)</f>
        <v>116.59571365822363</v>
      </c>
      <c r="Z63" s="500"/>
      <c r="AA63" s="498">
        <f ca="1">SUM(F63:Y63)-C63*1000</f>
        <v>-1039.645113452495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3307.0251421248604</v>
      </c>
      <c r="G67" s="633">
        <f t="shared" ca="1" si="5"/>
        <v>5669.1859579283318</v>
      </c>
      <c r="H67" s="633">
        <f t="shared" ca="1" si="5"/>
        <v>5669.1859579283318</v>
      </c>
      <c r="I67" s="633">
        <f t="shared" ca="1" si="5"/>
        <v>5669.1859579283318</v>
      </c>
      <c r="J67" s="633">
        <f t="shared" ca="1" si="5"/>
        <v>5669.1859579283318</v>
      </c>
      <c r="K67" s="633">
        <f t="shared" ca="1" si="5"/>
        <v>5669.1859579283318</v>
      </c>
      <c r="L67" s="633">
        <f t="shared" ca="1" si="5"/>
        <v>5669.1859579283318</v>
      </c>
      <c r="M67" s="633">
        <f t="shared" ca="1" si="5"/>
        <v>5669.1859579283318</v>
      </c>
      <c r="N67" s="633">
        <f t="shared" ca="1" si="5"/>
        <v>5669.1859579283318</v>
      </c>
      <c r="O67" s="633">
        <f t="shared" ca="1" si="5"/>
        <v>5669.1859579283318</v>
      </c>
      <c r="P67" s="633">
        <f t="shared" ca="1" si="5"/>
        <v>5669.1859579283318</v>
      </c>
      <c r="Q67" s="633">
        <f t="shared" ca="1" si="5"/>
        <v>5669.1859579283318</v>
      </c>
      <c r="R67" s="633">
        <f t="shared" ca="1" si="5"/>
        <v>5669.1859579283318</v>
      </c>
      <c r="S67" s="633">
        <f t="shared" ca="1" si="5"/>
        <v>5669.1859579283318</v>
      </c>
      <c r="T67" s="633">
        <f t="shared" ca="1" si="5"/>
        <v>5669.1859579283318</v>
      </c>
      <c r="U67" s="633">
        <f t="shared" ca="1" si="5"/>
        <v>5669.1859579283318</v>
      </c>
      <c r="V67" s="633">
        <f t="shared" ca="1" si="5"/>
        <v>5669.1859579283318</v>
      </c>
      <c r="W67" s="633">
        <f t="shared" ca="1" si="5"/>
        <v>5669.1859579283318</v>
      </c>
      <c r="X67" s="633">
        <f t="shared" ca="1" si="5"/>
        <v>5669.1859579283318</v>
      </c>
      <c r="Y67" s="633">
        <f t="shared" ca="1" si="5"/>
        <v>5669.1859579283318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161571.79980095755</v>
      </c>
      <c r="G69" s="635">
        <f t="shared" ref="G69:Y69" ca="1" si="6">F70</f>
        <v>158264.7746588327</v>
      </c>
      <c r="H69" s="635">
        <f t="shared" ca="1" si="6"/>
        <v>152595.58870090437</v>
      </c>
      <c r="I69" s="635">
        <f t="shared" ca="1" si="6"/>
        <v>146926.40274297603</v>
      </c>
      <c r="J69" s="635">
        <f t="shared" ca="1" si="6"/>
        <v>141257.2167850477</v>
      </c>
      <c r="K69" s="635">
        <f t="shared" ca="1" si="6"/>
        <v>135588.03082711936</v>
      </c>
      <c r="L69" s="635">
        <f t="shared" ca="1" si="6"/>
        <v>129918.84486919103</v>
      </c>
      <c r="M69" s="635">
        <f t="shared" ca="1" si="6"/>
        <v>124249.6589112627</v>
      </c>
      <c r="N69" s="635">
        <f t="shared" ca="1" si="6"/>
        <v>118580.47295333436</v>
      </c>
      <c r="O69" s="635">
        <f t="shared" ca="1" si="6"/>
        <v>112911.28699540603</v>
      </c>
      <c r="P69" s="635">
        <f t="shared" ca="1" si="6"/>
        <v>107242.1010374777</v>
      </c>
      <c r="Q69" s="635">
        <f t="shared" ca="1" si="6"/>
        <v>101572.91507954936</v>
      </c>
      <c r="R69" s="635">
        <f t="shared" ca="1" si="6"/>
        <v>95903.729121621029</v>
      </c>
      <c r="S69" s="635">
        <f t="shared" ca="1" si="6"/>
        <v>90234.543163692695</v>
      </c>
      <c r="T69" s="635">
        <f t="shared" ca="1" si="6"/>
        <v>84565.357205764361</v>
      </c>
      <c r="U69" s="635">
        <f t="shared" ca="1" si="6"/>
        <v>78896.171247836028</v>
      </c>
      <c r="V69" s="635">
        <f t="shared" ca="1" si="6"/>
        <v>73226.985289907694</v>
      </c>
      <c r="W69" s="635">
        <f t="shared" ca="1" si="6"/>
        <v>67557.79933197936</v>
      </c>
      <c r="X69" s="635">
        <f t="shared" ca="1" si="6"/>
        <v>61888.613374051027</v>
      </c>
      <c r="Y69" s="635">
        <f t="shared" ca="1" si="6"/>
        <v>56219.427416122693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158264.7746588327</v>
      </c>
      <c r="G70" s="639">
        <f t="shared" ca="1" si="7"/>
        <v>152595.58870090437</v>
      </c>
      <c r="H70" s="639">
        <f t="shared" ca="1" si="7"/>
        <v>146926.40274297603</v>
      </c>
      <c r="I70" s="639">
        <f t="shared" ca="1" si="7"/>
        <v>141257.2167850477</v>
      </c>
      <c r="J70" s="639">
        <f t="shared" ca="1" si="7"/>
        <v>135588.03082711936</v>
      </c>
      <c r="K70" s="639">
        <f t="shared" ca="1" si="7"/>
        <v>129918.84486919103</v>
      </c>
      <c r="L70" s="639">
        <f t="shared" ca="1" si="7"/>
        <v>124249.6589112627</v>
      </c>
      <c r="M70" s="639">
        <f t="shared" ca="1" si="7"/>
        <v>118580.47295333436</v>
      </c>
      <c r="N70" s="639">
        <f t="shared" ca="1" si="7"/>
        <v>112911.28699540603</v>
      </c>
      <c r="O70" s="639">
        <f t="shared" ca="1" si="7"/>
        <v>107242.1010374777</v>
      </c>
      <c r="P70" s="639">
        <f t="shared" ca="1" si="7"/>
        <v>101572.91507954936</v>
      </c>
      <c r="Q70" s="639">
        <f t="shared" ca="1" si="7"/>
        <v>95903.729121621029</v>
      </c>
      <c r="R70" s="639">
        <f t="shared" ca="1" si="7"/>
        <v>90234.543163692695</v>
      </c>
      <c r="S70" s="639">
        <f t="shared" ca="1" si="7"/>
        <v>84565.357205764361</v>
      </c>
      <c r="T70" s="639">
        <f t="shared" ca="1" si="7"/>
        <v>78896.171247836028</v>
      </c>
      <c r="U70" s="639">
        <f t="shared" ca="1" si="7"/>
        <v>73226.985289907694</v>
      </c>
      <c r="V70" s="639">
        <f t="shared" ca="1" si="7"/>
        <v>67557.79933197936</v>
      </c>
      <c r="W70" s="639">
        <f t="shared" ca="1" si="7"/>
        <v>61888.613374051027</v>
      </c>
      <c r="X70" s="639">
        <f t="shared" ca="1" si="7"/>
        <v>56219.427416122693</v>
      </c>
      <c r="Y70" s="639">
        <f t="shared" ca="1" si="7"/>
        <v>50550.241458194359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74"/>
  <sheetViews>
    <sheetView showOutlineSymbols="0" view="pageBreakPreview" topLeftCell="A54" zoomScale="60" zoomScaleNormal="75" workbookViewId="0">
      <selection activeCell="A54" sqref="A1:IV65536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28" ht="23.25">
      <c r="A1" s="640" t="str">
        <f>'BKDEPR 144A'!A1</f>
        <v>DELMARVA, VA</v>
      </c>
      <c r="B1" s="502"/>
      <c r="T1" s="504"/>
    </row>
    <row r="2" spans="1:28">
      <c r="A2" s="505" t="s">
        <v>369</v>
      </c>
      <c r="B2" s="506"/>
      <c r="T2" s="507"/>
    </row>
    <row r="3" spans="1:28">
      <c r="A3" s="508"/>
      <c r="B3" s="509"/>
      <c r="T3" s="510"/>
    </row>
    <row r="4" spans="1:28">
      <c r="A4" s="511"/>
    </row>
    <row r="5" spans="1:28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28">
      <c r="A6" s="511"/>
    </row>
    <row r="7" spans="1:28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28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28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28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28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28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28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28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28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28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28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28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28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28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28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28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28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28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28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28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28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28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28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28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28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28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26" sqref="F26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10073.583711789115</v>
      </c>
      <c r="D9" s="557">
        <f ca="1">'Co IS'!D29</f>
        <v>20814.142843159461</v>
      </c>
      <c r="E9" s="557">
        <f ca="1">'Co IS'!E29</f>
        <v>19904.869110230549</v>
      </c>
      <c r="F9" s="557">
        <f ca="1">'Co IS'!F29</f>
        <v>21394.369197227668</v>
      </c>
      <c r="G9" s="557">
        <f ca="1">'Co IS'!G29</f>
        <v>22179.114634017293</v>
      </c>
      <c r="H9" s="557">
        <f ca="1">'Co IS'!H29</f>
        <v>14021.735633022514</v>
      </c>
      <c r="I9" s="557">
        <f ca="1">'Co IS'!I29</f>
        <v>21116.179808077737</v>
      </c>
      <c r="J9" s="557">
        <f ca="1">'Co IS'!J29</f>
        <v>29307.555035005367</v>
      </c>
      <c r="K9" s="557">
        <f ca="1">'Co IS'!K29</f>
        <v>30474.580625956827</v>
      </c>
      <c r="L9" s="557">
        <f ca="1">'Co IS'!L29</f>
        <v>29049.477982589182</v>
      </c>
      <c r="M9" s="557">
        <f ca="1">'Co IS'!M29</f>
        <v>30435.04611861565</v>
      </c>
      <c r="N9" s="557">
        <f ca="1">'Co IS'!N29</f>
        <v>29350.677575846283</v>
      </c>
      <c r="O9" s="557">
        <f ca="1">'Co IS'!O29</f>
        <v>28862.723684893579</v>
      </c>
      <c r="P9" s="557">
        <f ca="1">'Co IS'!P29</f>
        <v>26422.651951447529</v>
      </c>
      <c r="Q9" s="557">
        <f ca="1">'Co IS'!Q29</f>
        <v>32469.596404357275</v>
      </c>
      <c r="R9" s="557">
        <f ca="1">'Co IS'!R29</f>
        <v>38701.262251351873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245.32647090444152</v>
      </c>
      <c r="D13" s="557">
        <f t="shared" ca="1" si="0"/>
        <v>4163.9010781494071</v>
      </c>
      <c r="E13" s="557">
        <f t="shared" ca="1" si="0"/>
        <v>4694.8240780914075</v>
      </c>
      <c r="F13" s="557">
        <f t="shared" ca="1" si="0"/>
        <v>7472.9212418677671</v>
      </c>
      <c r="G13" s="557">
        <f t="shared" ca="1" si="0"/>
        <v>9424.9840305632897</v>
      </c>
      <c r="H13" s="557">
        <f t="shared" ca="1" si="0"/>
        <v>4577.0770585111477</v>
      </c>
      <c r="I13" s="557">
        <f t="shared" ca="1" si="0"/>
        <v>12171.800098668904</v>
      </c>
      <c r="J13" s="557">
        <f t="shared" ca="1" si="0"/>
        <v>20363.175325596534</v>
      </c>
      <c r="K13" s="557">
        <f t="shared" ca="1" si="0"/>
        <v>21515.040950938826</v>
      </c>
      <c r="L13" s="557">
        <f t="shared" ca="1" si="0"/>
        <v>20105.098273180349</v>
      </c>
      <c r="M13" s="557">
        <f t="shared" ca="1" si="0"/>
        <v>21475.506443597649</v>
      </c>
      <c r="N13" s="557">
        <f t="shared" ca="1" si="0"/>
        <v>20406.29786643745</v>
      </c>
      <c r="O13" s="557">
        <f t="shared" ca="1" si="0"/>
        <v>19903.184009875578</v>
      </c>
      <c r="P13" s="557">
        <f t="shared" ca="1" si="0"/>
        <v>17478.272242038696</v>
      </c>
      <c r="Q13" s="557">
        <f t="shared" ca="1" si="0"/>
        <v>23510.056729339274</v>
      </c>
      <c r="R13" s="557">
        <f t="shared" ca="1" si="0"/>
        <v>34229.072396647454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249.83406468896442</v>
      </c>
      <c r="E14" s="559">
        <f ca="1">IF(E5='ASSUM 1'!$M$39,+CSHFLO!E13*'ASSUM 1'!$N$39,E13*'ASSUM 1'!$N$40)</f>
        <v>281.68944468548443</v>
      </c>
      <c r="F14" s="559">
        <f ca="1">IF(F5='ASSUM 1'!$M$39,+CSHFLO!F13*'ASSUM 1'!$N$39,F13*'ASSUM 1'!$N$40)</f>
        <v>448.37527451206603</v>
      </c>
      <c r="G14" s="559">
        <f ca="1">IF(G5='ASSUM 1'!$M$39,+CSHFLO!G13*'ASSUM 1'!$N$39,G13*'ASSUM 1'!$N$40)</f>
        <v>565.49904183379738</v>
      </c>
      <c r="H14" s="559">
        <f ca="1">IF(H5='ASSUM 1'!$M$39,+CSHFLO!H13*'ASSUM 1'!$N$39,H13*'ASSUM 1'!$N$40)</f>
        <v>274.62462351066887</v>
      </c>
      <c r="I14" s="559">
        <f ca="1">IF(I5='ASSUM 1'!$M$39,+CSHFLO!I13*'ASSUM 1'!$N$39,I13*'ASSUM 1'!$N$40)</f>
        <v>730.30800592013418</v>
      </c>
      <c r="J14" s="559">
        <f ca="1">IF(J5='ASSUM 1'!$M$39,+CSHFLO!J13*'ASSUM 1'!$N$39,J13*'ASSUM 1'!$N$40)</f>
        <v>1221.7905195357921</v>
      </c>
      <c r="K14" s="559">
        <f ca="1">IF(K5='ASSUM 1'!$M$39,+CSHFLO!K13*'ASSUM 1'!$N$39,K13*'ASSUM 1'!$N$40)</f>
        <v>1290.9024570563295</v>
      </c>
      <c r="L14" s="559">
        <f ca="1">IF(L5='ASSUM 1'!$M$39,+CSHFLO!L13*'ASSUM 1'!$N$39,L13*'ASSUM 1'!$N$40)</f>
        <v>1206.3058963908209</v>
      </c>
      <c r="M14" s="559">
        <f ca="1">IF(M5='ASSUM 1'!$M$39,+CSHFLO!M13*'ASSUM 1'!$N$39,M13*'ASSUM 1'!$N$40)</f>
        <v>1288.530386615859</v>
      </c>
      <c r="N14" s="559">
        <f ca="1">IF(N5='ASSUM 1'!$M$39,+CSHFLO!N13*'ASSUM 1'!$N$39,N13*'ASSUM 1'!$N$40)</f>
        <v>1224.3778719862469</v>
      </c>
      <c r="O14" s="559">
        <f ca="1">IF(O5='ASSUM 1'!$M$39,+CSHFLO!O13*'ASSUM 1'!$N$39,O13*'ASSUM 1'!$N$40)</f>
        <v>1194.1910405925346</v>
      </c>
      <c r="P14" s="559">
        <f ca="1">IF(P5='ASSUM 1'!$M$39,+CSHFLO!P13*'ASSUM 1'!$N$39,P13*'ASSUM 1'!$N$40)</f>
        <v>1048.6963345223216</v>
      </c>
      <c r="Q14" s="559">
        <f ca="1">IF(Q5='ASSUM 1'!$M$39,+CSHFLO!Q13*'ASSUM 1'!$N$39,Q13*'ASSUM 1'!$N$40)</f>
        <v>1410.6034037603563</v>
      </c>
      <c r="R14" s="559">
        <f ca="1">IF(R5='ASSUM 1'!$M$39,+CSHFLO!R13*'ASSUM 1'!$N$39,R13*'ASSUM 1'!$N$40)</f>
        <v>2053.7443437988472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-80.186761747947571</v>
      </c>
      <c r="D15" s="557">
        <f t="shared" ca="1" si="1"/>
        <v>3914.0670134604425</v>
      </c>
      <c r="E15" s="557">
        <f t="shared" ca="1" si="1"/>
        <v>4413.1346334059235</v>
      </c>
      <c r="F15" s="557">
        <f t="shared" ca="1" si="1"/>
        <v>7024.5459673557007</v>
      </c>
      <c r="G15" s="557">
        <f t="shared" ca="1" si="1"/>
        <v>8859.4849887294931</v>
      </c>
      <c r="H15" s="557">
        <f t="shared" ca="1" si="1"/>
        <v>4302.4524350004785</v>
      </c>
      <c r="I15" s="557">
        <f t="shared" ca="1" si="1"/>
        <v>11441.492092748769</v>
      </c>
      <c r="J15" s="557">
        <f t="shared" ca="1" si="1"/>
        <v>19141.384806060742</v>
      </c>
      <c r="K15" s="557">
        <f t="shared" ca="1" si="1"/>
        <v>20224.138493882496</v>
      </c>
      <c r="L15" s="557">
        <f t="shared" ca="1" si="1"/>
        <v>18898.792376789526</v>
      </c>
      <c r="M15" s="557">
        <f t="shared" ca="1" si="1"/>
        <v>20186.976056981792</v>
      </c>
      <c r="N15" s="557">
        <f t="shared" ca="1" si="1"/>
        <v>19181.919994451204</v>
      </c>
      <c r="O15" s="557">
        <f t="shared" ca="1" si="1"/>
        <v>18708.992969283045</v>
      </c>
      <c r="P15" s="557">
        <f t="shared" ca="1" si="1"/>
        <v>16429.575907516373</v>
      </c>
      <c r="Q15" s="557">
        <f t="shared" ca="1" si="1"/>
        <v>22099.453325578917</v>
      </c>
      <c r="R15" s="557">
        <f t="shared" ca="1" si="1"/>
        <v>32175.328052848607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80.186761747947571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80.186761747947571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-80.186761747947571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80.186761747947571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3833.880251712495</v>
      </c>
      <c r="E23" s="562">
        <f t="shared" ca="1" si="6"/>
        <v>4413.1346334059235</v>
      </c>
      <c r="F23" s="562">
        <f t="shared" ca="1" si="6"/>
        <v>7024.5459673557007</v>
      </c>
      <c r="G23" s="562">
        <f t="shared" ca="1" si="6"/>
        <v>8859.4849887294931</v>
      </c>
      <c r="H23" s="562">
        <f t="shared" ca="1" si="6"/>
        <v>4302.4524350004785</v>
      </c>
      <c r="I23" s="562">
        <f t="shared" ca="1" si="6"/>
        <v>11441.492092748769</v>
      </c>
      <c r="J23" s="562">
        <f t="shared" ca="1" si="6"/>
        <v>19141.384806060742</v>
      </c>
      <c r="K23" s="562">
        <f t="shared" ca="1" si="6"/>
        <v>20224.138493882496</v>
      </c>
      <c r="L23" s="562">
        <f t="shared" ca="1" si="6"/>
        <v>18898.792376789526</v>
      </c>
      <c r="M23" s="562">
        <f t="shared" ca="1" si="6"/>
        <v>20186.976056981792</v>
      </c>
      <c r="N23" s="562">
        <f t="shared" ca="1" si="6"/>
        <v>19181.919994451204</v>
      </c>
      <c r="O23" s="562">
        <f t="shared" ca="1" si="6"/>
        <v>18708.992969283045</v>
      </c>
      <c r="P23" s="562">
        <f t="shared" ca="1" si="6"/>
        <v>16429.575907516373</v>
      </c>
      <c r="Q23" s="562">
        <f t="shared" ca="1" si="6"/>
        <v>22099.453325578917</v>
      </c>
      <c r="R23" s="562">
        <f t="shared" ca="1" si="6"/>
        <v>32175.328052848607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3833.880251712495</v>
      </c>
      <c r="E28" s="565">
        <f t="shared" ca="1" si="7"/>
        <v>4413.1346334059235</v>
      </c>
      <c r="F28" s="565">
        <f t="shared" ca="1" si="7"/>
        <v>7024.5459673557007</v>
      </c>
      <c r="G28" s="565">
        <f t="shared" ca="1" si="7"/>
        <v>8859.4849887294931</v>
      </c>
      <c r="H28" s="565">
        <f t="shared" ca="1" si="7"/>
        <v>4302.4524350004785</v>
      </c>
      <c r="I28" s="565">
        <f t="shared" ca="1" si="7"/>
        <v>11441.492092748769</v>
      </c>
      <c r="J28" s="565">
        <f t="shared" ca="1" si="7"/>
        <v>19141.384806060742</v>
      </c>
      <c r="K28" s="565">
        <f t="shared" ca="1" si="7"/>
        <v>20224.138493882496</v>
      </c>
      <c r="L28" s="565">
        <f t="shared" ca="1" si="7"/>
        <v>18898.792376789526</v>
      </c>
      <c r="M28" s="565">
        <f t="shared" ca="1" si="7"/>
        <v>20186.976056981792</v>
      </c>
      <c r="N28" s="565">
        <f t="shared" ca="1" si="7"/>
        <v>19181.919994451204</v>
      </c>
      <c r="O28" s="565">
        <f t="shared" ca="1" si="7"/>
        <v>18708.992969283045</v>
      </c>
      <c r="P28" s="565">
        <f t="shared" ca="1" si="7"/>
        <v>16429.575907516373</v>
      </c>
      <c r="Q28" s="565">
        <f t="shared" ca="1" si="7"/>
        <v>22099.453325578917</v>
      </c>
      <c r="R28" s="565">
        <f t="shared" ca="1" si="7"/>
        <v>32175.328052848607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1341.8580880993732</v>
      </c>
      <c r="E30" s="562">
        <f t="shared" ca="1" si="8"/>
        <v>1544.5971216920732</v>
      </c>
      <c r="F30" s="562">
        <f t="shared" ca="1" si="8"/>
        <v>2458.5910885744952</v>
      </c>
      <c r="G30" s="562">
        <f t="shared" ca="1" si="8"/>
        <v>3100.8197460553224</v>
      </c>
      <c r="H30" s="562">
        <f t="shared" ca="1" si="8"/>
        <v>1505.8583522501674</v>
      </c>
      <c r="I30" s="562">
        <f t="shared" ca="1" si="8"/>
        <v>4004.522232462069</v>
      </c>
      <c r="J30" s="562">
        <f t="shared" ca="1" si="8"/>
        <v>6699.4846821212595</v>
      </c>
      <c r="K30" s="562">
        <f t="shared" ca="1" si="8"/>
        <v>7078.4484728588732</v>
      </c>
      <c r="L30" s="562">
        <f t="shared" ca="1" si="8"/>
        <v>6614.577331876334</v>
      </c>
      <c r="M30" s="562">
        <f t="shared" ca="1" si="8"/>
        <v>7065.4416199436264</v>
      </c>
      <c r="N30" s="562">
        <f t="shared" ca="1" si="8"/>
        <v>6713.671998057921</v>
      </c>
      <c r="O30" s="562">
        <f t="shared" ca="1" si="8"/>
        <v>6548.1475392490656</v>
      </c>
      <c r="P30" s="562">
        <f t="shared" ca="1" si="8"/>
        <v>5750.3515676307306</v>
      </c>
      <c r="Q30" s="562">
        <f t="shared" ca="1" si="8"/>
        <v>7734.8086639526209</v>
      </c>
      <c r="R30" s="562">
        <f t="shared" ca="1" si="8"/>
        <v>11261.364818497012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1341.8580880993732</v>
      </c>
      <c r="E33" s="562">
        <f t="shared" ca="1" si="9"/>
        <v>1544.5971216920732</v>
      </c>
      <c r="F33" s="562">
        <f t="shared" ca="1" si="9"/>
        <v>2458.5910885744952</v>
      </c>
      <c r="G33" s="562">
        <f t="shared" ca="1" si="9"/>
        <v>3100.8197460553224</v>
      </c>
      <c r="H33" s="562">
        <f t="shared" ca="1" si="9"/>
        <v>1505.8583522501674</v>
      </c>
      <c r="I33" s="562">
        <f t="shared" ca="1" si="9"/>
        <v>4004.522232462069</v>
      </c>
      <c r="J33" s="562">
        <f t="shared" ca="1" si="9"/>
        <v>6699.4846821212595</v>
      </c>
      <c r="K33" s="562">
        <f t="shared" ca="1" si="9"/>
        <v>7078.4484728588732</v>
      </c>
      <c r="L33" s="562">
        <f t="shared" ca="1" si="9"/>
        <v>6614.577331876334</v>
      </c>
      <c r="M33" s="562">
        <f t="shared" ca="1" si="9"/>
        <v>7065.4416199436264</v>
      </c>
      <c r="N33" s="562">
        <f t="shared" ca="1" si="9"/>
        <v>6713.671998057921</v>
      </c>
      <c r="O33" s="562">
        <f t="shared" ca="1" si="9"/>
        <v>6548.1475392490656</v>
      </c>
      <c r="P33" s="562">
        <f t="shared" ca="1" si="9"/>
        <v>5750.3515676307306</v>
      </c>
      <c r="Q33" s="562">
        <f t="shared" ca="1" si="9"/>
        <v>7734.8086639526209</v>
      </c>
      <c r="R33" s="562">
        <f t="shared" ca="1" si="9"/>
        <v>11261.364818497012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71</vt:i4>
      </vt:variant>
    </vt:vector>
  </HeadingPairs>
  <TitlesOfParts>
    <vt:vector size="98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CSHFLO</vt:lpstr>
      <vt:lpstr>144A FCF</vt:lpstr>
      <vt:lpstr>ENA-144A Comparison</vt:lpstr>
      <vt:lpstr>Fees</vt:lpstr>
      <vt:lpstr>ENA Assumptions</vt:lpstr>
      <vt:lpstr>IS-ENA</vt:lpstr>
      <vt:lpstr>ENE FCF</vt:lpstr>
      <vt:lpstr>Collateral Value</vt:lpstr>
      <vt:lpstr>CSHFLO-ENA</vt:lpstr>
      <vt:lpstr>CSHFLO w ePUP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 w ePUP'!CASHFLOW</vt:lpstr>
      <vt:lpstr>'CSHFLO-ENA'!CASHFLOW</vt:lpstr>
      <vt:lpstr>CASHFLOW</vt:lpstr>
      <vt:lpstr>'CSHFLO w ePUP'!CFLOW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 w ePUP'!Print_Area</vt:lpstr>
      <vt:lpstr>'CSHFLO-ENA'!Print_Area</vt:lpstr>
      <vt:lpstr>'ENA Debt'!Print_Area</vt:lpstr>
      <vt:lpstr>'ENA IDC'!Print_Area</vt:lpstr>
      <vt:lpstr>'ENA-144A Comparison'!Print_Area</vt:lpstr>
      <vt:lpstr>Fees!Print_Area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 w ePUP'!Print_Titles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Jan Havlíček</cp:lastModifiedBy>
  <cp:lastPrinted>2000-03-20T17:12:53Z</cp:lastPrinted>
  <dcterms:created xsi:type="dcterms:W3CDTF">1999-12-08T16:02:11Z</dcterms:created>
  <dcterms:modified xsi:type="dcterms:W3CDTF">2023-09-13T22:01:32Z</dcterms:modified>
</cp:coreProperties>
</file>