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CEA270-B45C-4C16-83F6-0174BA1E6EBB}" xr6:coauthVersionLast="47" xr6:coauthVersionMax="47" xr10:uidLastSave="{00000000-0000-0000-0000-000000000000}"/>
  <bookViews>
    <workbookView xWindow="-120" yWindow="-120" windowWidth="38640" windowHeight="15720" tabRatio="811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as Curve" sheetId="26" r:id="rId5"/>
    <sheet name="Turbo" sheetId="27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IS!$A$2:$Q$45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0" i="2" l="1"/>
  <c r="C10" i="2"/>
  <c r="D10" i="2"/>
  <c r="B11" i="2"/>
  <c r="C11" i="2"/>
  <c r="D11" i="2"/>
  <c r="B13" i="2"/>
  <c r="C13" i="2"/>
  <c r="D13" i="2"/>
  <c r="AA13" i="2"/>
  <c r="U14" i="2"/>
  <c r="V14" i="2"/>
  <c r="W14" i="2"/>
  <c r="X14" i="2"/>
  <c r="Y14" i="2"/>
  <c r="Z14" i="2"/>
  <c r="AA14" i="2"/>
  <c r="AB14" i="2"/>
  <c r="N17" i="2"/>
  <c r="P17" i="2"/>
  <c r="B18" i="2"/>
  <c r="C18" i="2"/>
  <c r="D18" i="2"/>
  <c r="B19" i="2"/>
  <c r="C19" i="2"/>
  <c r="D19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B35" i="2"/>
  <c r="C35" i="2"/>
  <c r="D35" i="2"/>
  <c r="G35" i="2"/>
  <c r="H35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C49" i="2"/>
  <c r="D49" i="2"/>
  <c r="B50" i="2"/>
  <c r="D50" i="2"/>
  <c r="B51" i="2"/>
  <c r="C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6" i="2"/>
  <c r="H66" i="2"/>
  <c r="H67" i="2"/>
  <c r="C69" i="2"/>
  <c r="D69" i="2"/>
  <c r="H69" i="2"/>
  <c r="C72" i="2"/>
  <c r="A73" i="2"/>
  <c r="C73" i="2"/>
  <c r="A74" i="2"/>
  <c r="C74" i="2"/>
  <c r="A75" i="2"/>
  <c r="C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19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3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<sst xmlns="http://schemas.openxmlformats.org/spreadsheetml/2006/main" count="608" uniqueCount="471">
  <si>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</si>
  <si>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</si>
  <si>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</si>
  <si>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</si>
  <si>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</si>
  <si>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</si>
  <si>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</si>
  <si>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</si>
  <si>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</si>
  <si>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</si>
  <si>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</si>
  <si>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</si>
  <si>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</si>
  <si>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</si>
  <si>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</si>
  <si>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</si>
  <si>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</si>
  <si>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</si>
  <si>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</si>
  <si>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</si>
  <si>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</si>
  <si>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</si>
  <si>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</si>
  <si>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</si>
  <si>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</si>
  <si>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</si>
  <si>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</si>
  <si>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</si>
  <si>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</si>
  <si>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</si>
  <si>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</si>
  <si>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</si>
  <si>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</si>
  <si>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</si>
  <si>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</si>
  <si>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</si>
  <si>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</si>
  <si>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</si>
  <si>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</si>
  <si>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</si>
  <si>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</si>
  <si>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</si>
  <si>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</si>
  <si>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</si>
  <si>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</si>
  <si>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</si>
  <si>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</si>
  <si>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</si>
  <si>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</si>
  <si>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</si>
  <si>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</si>
  <si>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</si>
  <si>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</si>
  <si>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</si>
  <si>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</si>
  <si>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</si>
  <si>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</si>
  <si>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</si>
  <si>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</si>
  <si>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</si>
  <si>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</si>
  <si>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</si>
  <si>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</si>
  <si>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</si>
  <si>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</si>
  <si>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</si>
  <si>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</si>
  <si>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</si>
  <si>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</si>
  <si>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</si>
  <si>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</si>
  <si>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</si>
  <si>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</si>
  <si>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</si>
  <si>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</si>
  <si>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</si>
  <si>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</si>
  <si>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</si>
  <si>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</si>
  <si>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</si>
  <si>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</si>
  <si>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</si>
  <si>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</si>
  <si>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</si>
  <si>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</si>
  <si>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</si>
  <si>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</si>
  <si>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</si>
  <si>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</si>
  <si>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</si>
  <si>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</si>
  <si>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</si>
  <si>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</si>
  <si>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</si>
  <si>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</si>
  <si>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</si>
  <si>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</si>
  <si>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</si>
  <si>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</si>
  <si>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</si>
  <si>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</si>
  <si>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</si>
  <si>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</si>
  <si>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</si>
  <si>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</si>
  <si>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</si>
  <si>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</si>
  <si>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</si>
  <si>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</si>
  <si>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</si>
  <si>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</si>
  <si>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</si>
  <si>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</si>
  <si>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</si>
  <si>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</si>
  <si>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</si>
  <si>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</si>
  <si>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</si>
  <si>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</si>
  <si>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</si>
  <si>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</si>
  <si>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</si>
  <si>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</si>
  <si>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</si>
  <si>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</si>
  <si>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</si>
  <si>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</si>
  <si>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</si>
  <si>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</si>
  <si>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</si>
  <si>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</si>
  <si>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</si>
  <si>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</si>
  <si>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</si>
  <si>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</si>
  <si>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</si>
  <si>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</si>
  <si>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</si>
  <si>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</si>
  <si>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</si>
  <si>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</si>
  <si>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</si>
  <si>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</si>
  <si>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</si>
  <si>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</si>
  <si>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</si>
  <si>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</si>
  <si>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</si>
  <si>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</si>
  <si>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</si>
  <si>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</si>
  <si>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</si>
  <si>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</si>
  <si>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</si>
  <si>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</si>
  <si>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</si>
  <si>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</si>
  <si>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</si>
  <si>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</si>
  <si>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</si>
  <si>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</si>
  <si>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</si>
  <si>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</si>
  <si>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</si>
  <si>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</si>
  <si>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</si>
  <si>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</si>
  <si>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</si>
  <si>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</si>
  <si>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</si>
  <si>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</si>
  <si>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</si>
  <si>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</si>
  <si>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</si>
  <si>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</si>
  <si>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</si>
  <si>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</si>
  <si>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</si>
  <si>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</si>
  <si>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</si>
  <si>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</si>
  <si>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</si>
  <si>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</si>
  <si>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</si>
  <si>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</si>
  <si>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</si>
  <si>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</si>
  <si>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</si>
  <si>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</si>
  <si>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</si>
  <si>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</si>
  <si>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</si>
  <si>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</si>
  <si>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</si>
  <si>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</si>
  <si>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</si>
  <si>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</si>
  <si>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</si>
  <si>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</si>
  <si>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</si>
  <si>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</si>
  <si>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</si>
  <si>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</si>
  <si>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</si>
  <si>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</si>
  <si>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</si>
  <si>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</si>
  <si>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</si>
  <si>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</si>
  <si>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</si>
  <si>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</si>
  <si>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</si>
  <si>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</si>
  <si>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</si>
  <si>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</si>
  <si>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</si>
  <si>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</si>
  <si>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</si>
  <si>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</si>
  <si>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</si>
  <si>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</si>
  <si>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</si>
  <si>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</si>
  <si>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</si>
  <si>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</si>
  <si>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</si>
  <si>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</si>
  <si>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</si>
  <si>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</si>
  <si>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</si>
  <si>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</si>
  <si>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</si>
  <si>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</si>
  <si>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</si>
  <si>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</si>
  <si>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</si>
  <si>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</si>
  <si>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</si>
  <si>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</si>
  <si>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</si>
  <si>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</si>
  <si>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</si>
  <si>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</si>
  <si>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</si>
  <si>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</si>
  <si>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</si>
  <si>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</si>
  <si>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</si>
  <si>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</si>
  <si>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</si>
  <si>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</si>
  <si>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</si>
  <si>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</si>
  <si>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</si>
  <si>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</si>
  <si>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</si>
  <si>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</si>
  <si>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</si>
  <si>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</si>
  <si>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</si>
  <si>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</si>
  <si>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</si>
  <si>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</si>
  <si>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</si>
  <si>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</si>
  <si>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</si>
  <si>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</si>
  <si>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</si>
  <si>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</si>
  <si>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</si>
  <si>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</si>
  <si>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</si>
  <si>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</si>
  <si>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</si>
  <si>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</si>
  <si>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</si>
  <si>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</si>
  <si>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</si>
  <si>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</si>
  <si>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</si>
  <si>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</si>
  <si>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</si>
  <si>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</si>
  <si>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</si>
  <si>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</si>
  <si>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</si>
  <si>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</si>
  <si>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</si>
  <si>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</si>
  <si>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</si>
  <si>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</si>
  <si>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</si>
  <si>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</si>
  <si>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</si>
  <si>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</si>
  <si>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</si>
  <si>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</si>
  <si>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</si>
  <si>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</si>
  <si>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</si>
  <si>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</si>
  <si>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</si>
  <si>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</si>
  <si>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</si>
  <si>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</si>
  <si>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</si>
  <si>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</si>
  <si>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</si>
  <si>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</si>
  <si>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</si>
  <si>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</si>
  <si>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</si>
  <si>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</si>
  <si>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</si>
  <si>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</si>
  <si>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</si>
  <si>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</si>
  <si>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</si>
  <si>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</si>
  <si>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</si>
  <si>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</si>
  <si>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</si>
  <si>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</si>
  <si>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</si>
  <si>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</si>
  <si>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</si>
  <si>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</si>
  <si>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</si>
  <si>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</si>
  <si>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</si>
  <si>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</si>
  <si>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</si>
  <si>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</si>
  <si>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</si>
  <si>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</si>
  <si>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</si>
  <si>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</si>
  <si>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</si>
  <si>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</si>
  <si>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</si>
  <si>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</si>
  <si>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</si>
  <si>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</si>
  <si>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</si>
  <si>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</si>
  <si>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</si>
  <si>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</si>
  <si>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</si>
  <si>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</si>
  <si>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</si>
  <si>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</si>
  <si>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</si>
  <si>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</si>
  <si>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</si>
  <si>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</si>
  <si>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</si>
  <si>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</si>
  <si>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</si>
  <si>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</si>
  <si>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</si>
  <si>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</si>
  <si>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</si>
  <si>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</si>
  <si>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</si>
  <si>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</si>
  <si>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</si>
  <si>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</si>
  <si>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</si>
  <si>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</si>
  <si>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</si>
  <si>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</si>
  <si>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</si>
  <si>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</si>
  <si>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</si>
  <si>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</si>
  <si>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</si>
  <si>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</si>
  <si>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</si>
  <si>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</si>
  <si>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</si>
  <si>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</si>
  <si>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</si>
  <si>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</si>
  <si>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</si>
  <si>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</si>
  <si>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</si>
  <si>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</si>
  <si>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</si>
  <si>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</si>
  <si>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</si>
  <si>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</si>
  <si>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</si>
  <si>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</si>
  <si>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</si>
  <si>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</si>
  <si>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</si>
  <si>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</si>
  <si>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</si>
  <si>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</si>
  <si>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</si>
  <si>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</si>
  <si>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</si>
  <si>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</si>
  <si>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</si>
  <si>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</si>
  <si>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</si>
  <si>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</si>
  <si>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</si>
  <si>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</si>
  <si>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</si>
  <si>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</si>
  <si>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</si>
  <si>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</si>
  <si>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</si>
  <si>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</si>
  <si>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</si>
  <si>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</si>
  <si>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</si>
  <si>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</si>
  <si>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</si>
  <si>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</si>
  <si>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</si>
  <si>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</si>
  <si>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</si>
  <si>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</si>
  <si>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</si>
  <si>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</si>
  <si>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</si>
  <si>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</si>
  <si>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</si>
  <si>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</si>
  <si>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</si>
  <si>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</si>
  <si>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</si>
  <si>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</si>
  <si>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</si>
  <si>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</si>
  <si>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 xml:space="preserve">Total Price to </t>
  </si>
  <si>
    <t>Tenn Zone 6</t>
  </si>
  <si>
    <t>Price</t>
  </si>
  <si>
    <t>Index (Tenn Zone 6)</t>
  </si>
  <si>
    <t xml:space="preserve">  EE&amp;CC Program Management</t>
  </si>
  <si>
    <t>Target</t>
  </si>
  <si>
    <t>20 Yrs After-Tax Cashflow with Zero Residual Value</t>
  </si>
  <si>
    <t xml:space="preserve">  Enhanced Sprint Option</t>
  </si>
  <si>
    <t xml:space="preserve">  Noise Mitigation</t>
  </si>
  <si>
    <r>
      <t xml:space="preserve">  </t>
    </r>
    <r>
      <rPr>
        <sz val="12"/>
        <rFont val="Times New Roman"/>
        <family val="1"/>
      </rPr>
      <t>T-Line</t>
    </r>
  </si>
  <si>
    <t xml:space="preserve">  Turbo Charger On</t>
  </si>
  <si>
    <t>Net CTG plant output</t>
  </si>
  <si>
    <t>LMP gross output</t>
  </si>
  <si>
    <t>LMP aux.</t>
  </si>
  <si>
    <t>chiller aux. Savings</t>
  </si>
  <si>
    <t>Net Plant Output</t>
  </si>
  <si>
    <t>Fuel Consumption</t>
  </si>
  <si>
    <t>Net deal H.R.</t>
  </si>
  <si>
    <t>Base Capital Cost</t>
  </si>
  <si>
    <t>LMP Cost adder</t>
  </si>
  <si>
    <t>Chiller Plant Savings</t>
  </si>
  <si>
    <t>Net Plant Cost</t>
  </si>
  <si>
    <t>Incremenetal net plant output</t>
  </si>
  <si>
    <t>Incremental net plant cost</t>
  </si>
  <si>
    <t>MW</t>
  </si>
  <si>
    <t>MMBtu/hr</t>
  </si>
  <si>
    <t>Lowell</t>
  </si>
  <si>
    <t>Lowell + LMP</t>
  </si>
  <si>
    <t>Btu/kWhr.</t>
  </si>
  <si>
    <t>US$</t>
  </si>
  <si>
    <t>US$/kW</t>
  </si>
  <si>
    <t>Sheet Generated from Bruce Golden</t>
  </si>
  <si>
    <t xml:space="preserve">  LMP Cost Adder</t>
  </si>
  <si>
    <t>LMP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</si>
</sst>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0" applyNumberFormat="1" applyFont="1" applyBorder="1" applyAlignment="1">
      <alignment horizontal="center"/>
    </xf>
    <xf numFmtId="0" fontId="9" fillId="4" borderId="10" xfId="0" applyFont="1" applyFill="1" applyBorder="1"/>
    <xf numFmtId="0" fontId="9" fillId="4" borderId="0" xfId="0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0" fillId="4" borderId="0" xfId="0" applyFill="1" applyBorder="1"/>
    <xf numFmtId="0" fontId="0" fillId="4" borderId="9" xfId="0" applyFill="1" applyBorder="1"/>
    <xf numFmtId="166" fontId="0" fillId="0" borderId="9" xfId="3" applyNumberFormat="1" applyFont="1" applyBorder="1"/>
    <xf numFmtId="165" fontId="0" fillId="4" borderId="0" xfId="4" applyNumberFormat="1" applyFont="1" applyFill="1" applyBorder="1"/>
    <xf numFmtId="165" fontId="0" fillId="0" borderId="0" xfId="4" applyNumberFormat="1" applyFont="1" applyBorder="1"/>
    <xf numFmtId="165" fontId="0" fillId="0" borderId="9" xfId="4" applyNumberFormat="1" applyFont="1" applyBorder="1"/>
    <xf numFmtId="165" fontId="0" fillId="4" borderId="9" xfId="4" applyNumberFormat="1" applyFont="1" applyFill="1" applyBorder="1"/>
    <xf numFmtId="0" fontId="0" fillId="0" borderId="15" xfId="0" applyBorder="1"/>
    <xf numFmtId="165" fontId="0" fillId="0" borderId="13" xfId="4" applyNumberFormat="1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12E6DCE-6ED3-0E85-1060-3FA928FC4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3C1E9201-0404-C0FF-827B-6E430D4A4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E5899EE9-BB33-9AC5-D6F4-C4C4482C4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387140FD-1E1E-E5AE-3C11-74EB695E5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E321C1F6-8726-1745-73C5-A250AFEDC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8" t="s">
        <v>165</v>
      </c>
      <c r="C2" s="5"/>
    </row>
    <row r="3" spans="1:18" s="46" customFormat="1" ht="15.75"/>
    <row r="4" spans="1:18" s="46" customFormat="1" ht="18.75">
      <c r="A4" s="472">
        <v>1</v>
      </c>
      <c r="B4" s="205" t="s">
        <v>399</v>
      </c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</row>
    <row r="5" spans="1:18" s="46" customFormat="1" ht="18.75">
      <c r="B5" s="205" t="s">
        <v>400</v>
      </c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</row>
    <row r="6" spans="1:18" s="46" customFormat="1" ht="15.75">
      <c r="A6" s="12">
        <v>2</v>
      </c>
      <c r="B6" s="53" t="s">
        <v>311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8" t="s">
        <v>206</v>
      </c>
    </row>
    <row r="13" spans="1:18" s="46" customFormat="1" ht="15.75">
      <c r="A13" s="473"/>
      <c r="B13" s="12"/>
      <c r="C13" s="12"/>
      <c r="D13" s="12"/>
      <c r="E13" s="12"/>
      <c r="F13" s="12"/>
      <c r="G13" s="12"/>
      <c r="H13" s="12"/>
      <c r="I13" s="474" t="s">
        <v>207</v>
      </c>
      <c r="J13" s="12"/>
      <c r="K13" s="12"/>
      <c r="L13" s="12"/>
      <c r="M13" s="12"/>
      <c r="N13" s="12"/>
      <c r="O13" s="474"/>
      <c r="P13" s="12"/>
    </row>
    <row r="14" spans="1:18" s="46" customFormat="1" ht="15.75">
      <c r="A14" s="12">
        <v>1</v>
      </c>
      <c r="B14" s="12" t="s">
        <v>372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75"/>
      <c r="P14" s="12"/>
    </row>
    <row r="15" spans="1:18" s="46" customFormat="1" ht="15.75">
      <c r="A15" s="12"/>
      <c r="B15" s="12" t="s">
        <v>273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5"/>
      <c r="P15" s="12"/>
    </row>
    <row r="16" spans="1:18" s="46" customFormat="1" ht="15.75">
      <c r="A16" s="12">
        <v>2</v>
      </c>
      <c r="B16" s="12" t="s">
        <v>234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75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367</v>
      </c>
      <c r="J17" s="12"/>
      <c r="K17" s="12"/>
      <c r="L17" s="12"/>
      <c r="M17" s="12"/>
      <c r="N17" s="12"/>
      <c r="O17" s="475"/>
      <c r="P17" s="12"/>
    </row>
    <row r="18" spans="1:16" s="46" customFormat="1" ht="15.75">
      <c r="A18" s="12">
        <v>4</v>
      </c>
      <c r="B18" s="12" t="s">
        <v>259</v>
      </c>
      <c r="C18" s="12"/>
      <c r="D18" s="12"/>
      <c r="E18" s="12"/>
      <c r="F18" s="12"/>
      <c r="G18" s="12"/>
      <c r="H18" s="12"/>
      <c r="I18" s="12" t="s">
        <v>418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313</v>
      </c>
      <c r="C19" s="12"/>
      <c r="D19" s="12"/>
      <c r="E19" s="12"/>
      <c r="F19" s="12"/>
      <c r="G19" s="12"/>
      <c r="H19" s="12"/>
      <c r="I19" s="12" t="s">
        <v>283</v>
      </c>
      <c r="J19" s="12"/>
      <c r="K19" s="12"/>
      <c r="L19" s="12"/>
      <c r="M19" s="12"/>
      <c r="N19" s="12"/>
      <c r="O19" s="475"/>
      <c r="P19" s="12"/>
    </row>
    <row r="20" spans="1:16" s="46" customFormat="1" ht="15.75">
      <c r="A20" s="12">
        <v>6</v>
      </c>
      <c r="B20" s="12" t="s">
        <v>333</v>
      </c>
      <c r="C20" s="12"/>
      <c r="D20" s="12"/>
      <c r="E20" s="12"/>
      <c r="F20" s="12"/>
      <c r="G20" s="12"/>
      <c r="H20" s="12"/>
      <c r="I20" s="12" t="s">
        <v>334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365</v>
      </c>
      <c r="C21" s="12"/>
      <c r="D21" s="12"/>
      <c r="E21" s="12"/>
      <c r="F21" s="12"/>
      <c r="G21" s="12"/>
      <c r="H21" s="12"/>
      <c r="I21" s="12" t="s">
        <v>283</v>
      </c>
      <c r="J21" s="12"/>
      <c r="K21" s="12"/>
      <c r="L21" s="12"/>
      <c r="M21" s="12"/>
      <c r="N21" s="12"/>
      <c r="O21" s="475"/>
      <c r="P21" s="12"/>
    </row>
    <row r="22" spans="1:16" s="46" customFormat="1" ht="15.75">
      <c r="A22" s="12">
        <v>8</v>
      </c>
      <c r="B22" s="12" t="s">
        <v>368</v>
      </c>
      <c r="C22" s="12"/>
      <c r="D22" s="12"/>
      <c r="E22" s="12"/>
      <c r="F22" s="12"/>
      <c r="G22" s="12"/>
      <c r="H22" s="12"/>
      <c r="I22" s="12" t="s">
        <v>369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408</v>
      </c>
      <c r="C23" s="12"/>
      <c r="D23" s="12"/>
      <c r="E23" s="12"/>
      <c r="F23" s="12"/>
      <c r="G23" s="12"/>
      <c r="H23" s="12"/>
      <c r="I23" s="12" t="s">
        <v>283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8" t="s">
        <v>276</v>
      </c>
    </row>
    <row r="28" spans="1:16" s="46" customFormat="1" ht="18.75">
      <c r="A28" s="280"/>
    </row>
    <row r="29" spans="1:16" s="46" customFormat="1" ht="15.75">
      <c r="A29" s="12"/>
      <c r="B29" s="476" t="s">
        <v>301</v>
      </c>
      <c r="C29" s="12"/>
      <c r="D29" s="12"/>
      <c r="E29" s="476" t="s">
        <v>300</v>
      </c>
      <c r="F29" s="476"/>
      <c r="G29" s="476"/>
      <c r="H29" s="476" t="s">
        <v>302</v>
      </c>
      <c r="I29" s="12"/>
      <c r="J29" s="12"/>
    </row>
    <row r="30" spans="1:16" s="46" customFormat="1" ht="15.75">
      <c r="A30" s="12"/>
      <c r="B30" s="12" t="s">
        <v>374</v>
      </c>
      <c r="C30" s="12"/>
      <c r="D30" s="12"/>
      <c r="E30" s="12" t="s">
        <v>285</v>
      </c>
      <c r="F30" s="12"/>
      <c r="G30" s="12"/>
      <c r="H30" s="12" t="s">
        <v>297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286</v>
      </c>
      <c r="F31" s="12"/>
      <c r="G31" s="12"/>
      <c r="H31" s="12" t="s">
        <v>298</v>
      </c>
      <c r="I31" s="12"/>
      <c r="J31" s="12"/>
    </row>
    <row r="32" spans="1:16" s="46" customFormat="1" ht="15.75">
      <c r="A32" s="12"/>
      <c r="B32" s="12" t="s">
        <v>375</v>
      </c>
      <c r="C32" s="12"/>
      <c r="D32" s="12"/>
      <c r="E32" s="12" t="s">
        <v>287</v>
      </c>
      <c r="F32" s="12"/>
      <c r="G32" s="12"/>
      <c r="H32" s="12" t="s">
        <v>299</v>
      </c>
      <c r="I32" s="12"/>
      <c r="J32" s="12"/>
    </row>
    <row r="33" spans="1:10" s="46" customFormat="1" ht="15.75">
      <c r="A33" s="12"/>
      <c r="B33" s="12" t="s">
        <v>281</v>
      </c>
      <c r="C33" s="12"/>
      <c r="D33" s="12"/>
      <c r="E33" s="12" t="s">
        <v>282</v>
      </c>
      <c r="F33" s="12"/>
      <c r="G33" s="12"/>
      <c r="H33" s="12" t="s">
        <v>294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283</v>
      </c>
      <c r="F34" s="12"/>
      <c r="G34" s="12"/>
      <c r="H34" s="12" t="s">
        <v>295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284</v>
      </c>
      <c r="F35" s="12"/>
      <c r="G35" s="12"/>
      <c r="H35" s="12" t="s">
        <v>296</v>
      </c>
      <c r="I35" s="12"/>
      <c r="J35" s="12"/>
    </row>
    <row r="36" spans="1:10" s="46" customFormat="1" ht="15.75">
      <c r="A36" s="12"/>
      <c r="B36" s="12" t="s">
        <v>279</v>
      </c>
      <c r="C36" s="12"/>
      <c r="D36" s="12"/>
      <c r="E36" s="12" t="s">
        <v>280</v>
      </c>
      <c r="F36" s="12"/>
      <c r="G36" s="12"/>
      <c r="H36" s="12" t="s">
        <v>293</v>
      </c>
      <c r="I36" s="12"/>
      <c r="J36" s="12"/>
    </row>
    <row r="37" spans="1:10" s="46" customFormat="1" ht="15.75">
      <c r="A37" s="12"/>
      <c r="B37" s="12" t="s">
        <v>333</v>
      </c>
      <c r="C37" s="12"/>
      <c r="D37" s="12"/>
      <c r="E37" s="12" t="s">
        <v>334</v>
      </c>
      <c r="F37" s="12"/>
      <c r="G37" s="12"/>
      <c r="H37" s="12" t="s">
        <v>331</v>
      </c>
      <c r="I37" s="12"/>
      <c r="J37" s="12"/>
    </row>
    <row r="38" spans="1:10" s="46" customFormat="1" ht="15.75">
      <c r="A38" s="12"/>
      <c r="B38" s="12" t="s">
        <v>277</v>
      </c>
      <c r="C38" s="12"/>
      <c r="D38" s="12"/>
      <c r="E38" s="12" t="s">
        <v>278</v>
      </c>
      <c r="F38" s="12"/>
      <c r="G38" s="12"/>
      <c r="H38" s="12" t="s">
        <v>332</v>
      </c>
      <c r="I38" s="12"/>
      <c r="J38" s="12"/>
    </row>
    <row r="39" spans="1:10" s="46" customFormat="1" ht="15.75">
      <c r="A39" s="12"/>
      <c r="B39" s="12" t="s">
        <v>413</v>
      </c>
      <c r="C39" s="12"/>
      <c r="D39" s="12"/>
      <c r="E39" s="12" t="s">
        <v>397</v>
      </c>
      <c r="F39" s="12"/>
      <c r="G39" s="12"/>
      <c r="H39" s="12" t="s">
        <v>398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422</v>
      </c>
      <c r="F40" s="12"/>
      <c r="G40" s="12"/>
      <c r="H40" s="12" t="s">
        <v>423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208</v>
      </c>
      <c r="F41" s="12"/>
      <c r="G41" s="12"/>
      <c r="H41" s="12" t="s">
        <v>292</v>
      </c>
      <c r="I41" s="12"/>
      <c r="J41" s="12"/>
    </row>
    <row r="42" spans="1:10" s="46" customFormat="1" ht="15.75">
      <c r="A42" s="12"/>
      <c r="B42" s="12" t="s">
        <v>370</v>
      </c>
      <c r="C42" s="12"/>
      <c r="D42" s="12"/>
      <c r="E42" s="12" t="s">
        <v>395</v>
      </c>
      <c r="F42" s="12"/>
      <c r="G42" s="12"/>
      <c r="H42" s="12" t="s">
        <v>396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369</v>
      </c>
      <c r="F43" s="12"/>
      <c r="G43" s="12"/>
      <c r="H43" s="12" t="s">
        <v>371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20" t="s">
        <v>409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6"/>
      <c r="AB5" s="6"/>
      <c r="AG5"/>
    </row>
    <row r="6" spans="1:40" s="140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1" t="s">
        <v>39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391</v>
      </c>
      <c r="B11" s="388">
        <f>B29+B38</f>
        <v>5642.8351266824566</v>
      </c>
      <c r="C11" s="388">
        <f t="shared" ref="C11:AF11" si="1">C29+C38</f>
        <v>13621.547332383949</v>
      </c>
      <c r="D11" s="388">
        <f t="shared" si="1"/>
        <v>13656.227217468168</v>
      </c>
      <c r="E11" s="388">
        <f t="shared" si="1"/>
        <v>13640.48002719308</v>
      </c>
      <c r="F11" s="388">
        <f t="shared" si="1"/>
        <v>13596.221390553674</v>
      </c>
      <c r="G11" s="388">
        <f t="shared" si="1"/>
        <v>13579.119766424694</v>
      </c>
      <c r="H11" s="388">
        <f t="shared" si="1"/>
        <v>13552.03169008941</v>
      </c>
      <c r="I11" s="388">
        <f t="shared" si="1"/>
        <v>13533.426657006043</v>
      </c>
      <c r="J11" s="388">
        <f t="shared" si="1"/>
        <v>13486.453519182356</v>
      </c>
      <c r="K11" s="388">
        <f t="shared" si="1"/>
        <v>13466.338472891468</v>
      </c>
      <c r="L11" s="388">
        <f t="shared" si="1"/>
        <v>13436.229225156614</v>
      </c>
      <c r="M11" s="388">
        <f t="shared" si="1"/>
        <v>13414.438101951167</v>
      </c>
      <c r="N11" s="388">
        <f t="shared" si="1"/>
        <v>13364.437714210653</v>
      </c>
      <c r="O11" s="388">
        <f t="shared" si="1"/>
        <v>13340.962660043948</v>
      </c>
      <c r="P11" s="465">
        <f t="shared" si="1"/>
        <v>13307.48426781492</v>
      </c>
      <c r="Q11" s="388">
        <f t="shared" si="1"/>
        <v>13282.140118242745</v>
      </c>
      <c r="R11" s="388">
        <f t="shared" si="1"/>
        <v>13269.086187316258</v>
      </c>
      <c r="S11" s="388">
        <f t="shared" si="1"/>
        <v>13275.417428881712</v>
      </c>
      <c r="T11" s="388">
        <f t="shared" si="1"/>
        <v>13244.87685794332</v>
      </c>
      <c r="U11" s="388">
        <f t="shared" si="1"/>
        <v>13215.624293421706</v>
      </c>
      <c r="V11" s="388">
        <f t="shared" si="1"/>
        <v>6027.0870761599372</v>
      </c>
      <c r="W11" s="388">
        <f t="shared" si="1"/>
        <v>-283.31252191509293</v>
      </c>
      <c r="X11" s="388">
        <f t="shared" si="1"/>
        <v>-1623.5292357896769</v>
      </c>
      <c r="Y11" s="388">
        <f t="shared" si="1"/>
        <v>-1667.2236148203451</v>
      </c>
      <c r="Z11" s="388">
        <f t="shared" si="1"/>
        <v>-1708.6449146526641</v>
      </c>
      <c r="AA11" s="388">
        <f t="shared" si="1"/>
        <v>-1754.678420748502</v>
      </c>
      <c r="AB11" s="388">
        <f t="shared" si="1"/>
        <v>-1800.7884300045416</v>
      </c>
      <c r="AC11" s="388">
        <f t="shared" si="1"/>
        <v>-1849.4181693988917</v>
      </c>
      <c r="AD11" s="388">
        <f t="shared" si="1"/>
        <v>-1895.5344606846761</v>
      </c>
      <c r="AE11" s="388">
        <f t="shared" si="1"/>
        <v>-1946.7754897118257</v>
      </c>
      <c r="AF11" s="465">
        <f t="shared" si="1"/>
        <v>-2499.4811435955826</v>
      </c>
      <c r="AG11"/>
      <c r="AN11" s="525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5">
        <f>IF(AN11=1,6,15)</f>
        <v>6</v>
      </c>
    </row>
    <row r="13" spans="1:40">
      <c r="A13" s="391" t="s">
        <v>326</v>
      </c>
      <c r="B13" s="306">
        <f>B11/B12</f>
        <v>4340.642405140351</v>
      </c>
      <c r="C13" s="306">
        <f t="shared" ref="C13:AF13" si="2">C11/C12</f>
        <v>10478.113332603038</v>
      </c>
      <c r="D13" s="306">
        <f t="shared" si="2"/>
        <v>10504.790167283205</v>
      </c>
      <c r="E13" s="306">
        <f t="shared" si="2"/>
        <v>10492.676943994677</v>
      </c>
      <c r="F13" s="306">
        <f t="shared" si="2"/>
        <v>10458.631838887441</v>
      </c>
      <c r="G13" s="306">
        <f t="shared" si="2"/>
        <v>10445.476743403609</v>
      </c>
      <c r="H13" s="306">
        <f t="shared" si="2"/>
        <v>10424.639761607239</v>
      </c>
      <c r="I13" s="306">
        <f t="shared" si="2"/>
        <v>10410.328197696956</v>
      </c>
      <c r="J13" s="306">
        <f t="shared" si="2"/>
        <v>10374.195014755658</v>
      </c>
      <c r="K13" s="306">
        <f t="shared" si="2"/>
        <v>10358.721902224206</v>
      </c>
      <c r="L13" s="306">
        <f t="shared" si="2"/>
        <v>10335.560942428165</v>
      </c>
      <c r="M13" s="306">
        <f t="shared" si="2"/>
        <v>10318.798539962436</v>
      </c>
      <c r="N13" s="306">
        <f t="shared" si="2"/>
        <v>10280.336703238963</v>
      </c>
      <c r="O13" s="306">
        <f t="shared" si="2"/>
        <v>10262.278969264575</v>
      </c>
      <c r="P13" s="392">
        <f t="shared" si="2"/>
        <v>10236.526359857631</v>
      </c>
      <c r="Q13" s="306">
        <f t="shared" si="2"/>
        <v>10217.030860186727</v>
      </c>
      <c r="R13" s="306">
        <f t="shared" si="2"/>
        <v>10206.98937485866</v>
      </c>
      <c r="S13" s="306">
        <f t="shared" si="2"/>
        <v>10211.85956067824</v>
      </c>
      <c r="T13" s="306">
        <f t="shared" si="2"/>
        <v>10188.366813802553</v>
      </c>
      <c r="U13" s="306">
        <f t="shared" si="2"/>
        <v>10165.86484109362</v>
      </c>
      <c r="V13" s="306">
        <f t="shared" si="2"/>
        <v>4636.2208278153357</v>
      </c>
      <c r="W13" s="306">
        <f t="shared" si="2"/>
        <v>-217.93270916545609</v>
      </c>
      <c r="X13" s="306">
        <f t="shared" si="2"/>
        <v>-1248.868642915136</v>
      </c>
      <c r="Y13" s="306">
        <f t="shared" si="2"/>
        <v>-1282.4797037079577</v>
      </c>
      <c r="Z13" s="306">
        <f t="shared" si="2"/>
        <v>-1314.3422420405107</v>
      </c>
      <c r="AA13" s="306">
        <f t="shared" si="2"/>
        <v>-1349.7526313450014</v>
      </c>
      <c r="AB13" s="306">
        <f t="shared" si="2"/>
        <v>-1385.2218692342628</v>
      </c>
      <c r="AC13" s="306">
        <f t="shared" si="2"/>
        <v>-1422.6293610760704</v>
      </c>
      <c r="AD13" s="306">
        <f t="shared" si="2"/>
        <v>-1458.1034312959046</v>
      </c>
      <c r="AE13" s="306">
        <f t="shared" si="2"/>
        <v>-1497.519607470635</v>
      </c>
      <c r="AF13" s="392">
        <f t="shared" si="2"/>
        <v>-1922.6778027658327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3"/>
      <c r="C16" s="65"/>
      <c r="AG16"/>
    </row>
    <row r="17" spans="1:33">
      <c r="A17" s="53"/>
      <c r="B17" s="223"/>
      <c r="C17" s="527"/>
      <c r="AG17"/>
    </row>
    <row r="18" spans="1:33">
      <c r="A18" s="53"/>
      <c r="B18" s="223"/>
      <c r="AG18"/>
    </row>
    <row r="19" spans="1:33">
      <c r="A19" s="11" t="s">
        <v>350</v>
      </c>
      <c r="B19" s="398">
        <v>91250.396034021513</v>
      </c>
      <c r="S19" s="18"/>
      <c r="AF19" s="65"/>
      <c r="AG19"/>
    </row>
    <row r="20" spans="1:33">
      <c r="A20" s="11" t="s">
        <v>349</v>
      </c>
      <c r="B20" s="403">
        <f>HLOOKUP(Assumptions!G34,B23:AF39,AN12)</f>
        <v>0</v>
      </c>
      <c r="AF20" s="527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8">
        <v>47969</v>
      </c>
    </row>
    <row r="24" spans="1:33">
      <c r="A24" s="48" t="s">
        <v>55</v>
      </c>
      <c r="B24"/>
      <c r="C24" s="48">
        <f>B45</f>
        <v>90063.232407633899</v>
      </c>
      <c r="D24" s="48">
        <f t="shared" ref="D24:AF24" si="3">C45</f>
        <v>86950.559255475804</v>
      </c>
      <c r="E24" s="48">
        <f t="shared" si="3"/>
        <v>83549.886037416305</v>
      </c>
      <c r="F24" s="48">
        <f t="shared" si="3"/>
        <v>79880.717607603277</v>
      </c>
      <c r="G24" s="48">
        <f t="shared" si="3"/>
        <v>75927.190892140949</v>
      </c>
      <c r="H24" s="48">
        <f t="shared" si="3"/>
        <v>71658.873089528934</v>
      </c>
      <c r="I24" s="48">
        <f t="shared" si="3"/>
        <v>67052.424235183877</v>
      </c>
      <c r="J24" s="48">
        <f t="shared" si="3"/>
        <v>62077.225564110347</v>
      </c>
      <c r="K24" s="48">
        <f t="shared" si="3"/>
        <v>56711.84223937495</v>
      </c>
      <c r="L24" s="48">
        <f t="shared" si="3"/>
        <v>50914.111363659511</v>
      </c>
      <c r="M24" s="48">
        <f t="shared" si="3"/>
        <v>44651.842526648223</v>
      </c>
      <c r="N24" s="48">
        <f t="shared" si="3"/>
        <v>37882.586533938214</v>
      </c>
      <c r="O24" s="48">
        <f t="shared" si="3"/>
        <v>30577.192483529376</v>
      </c>
      <c r="P24" s="48">
        <f t="shared" si="3"/>
        <v>22677.321114913961</v>
      </c>
      <c r="Q24" s="48">
        <f t="shared" si="3"/>
        <v>14138.553546584813</v>
      </c>
      <c r="R24" s="48">
        <f t="shared" si="3"/>
        <v>4902.1120599982796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222.43988598275126</v>
      </c>
      <c r="Y24" s="48">
        <f t="shared" si="3"/>
        <v>1515.8667974112773</v>
      </c>
      <c r="Z24" s="48">
        <f t="shared" si="3"/>
        <v>2952.524700716001</v>
      </c>
      <c r="AA24" s="48">
        <f t="shared" si="3"/>
        <v>4542.4838868546931</v>
      </c>
      <c r="AB24" s="48">
        <f t="shared" si="3"/>
        <v>6302.6356193769352</v>
      </c>
      <c r="AC24" s="48">
        <f t="shared" si="3"/>
        <v>8247.1976507094114</v>
      </c>
      <c r="AD24" s="48">
        <f t="shared" si="3"/>
        <v>10394.078265782977</v>
      </c>
      <c r="AE24" s="48">
        <f t="shared" si="3"/>
        <v>12756.926682769394</v>
      </c>
      <c r="AF24" s="48">
        <f t="shared" si="3"/>
        <v>15359.570248713349</v>
      </c>
      <c r="AG24"/>
    </row>
    <row r="25" spans="1:33">
      <c r="A25" s="48" t="s">
        <v>327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56</v>
      </c>
      <c r="B26"/>
      <c r="C26" s="48">
        <f t="shared" ref="C26:AF26" si="4">C24-C28</f>
        <v>1535.3946516667493</v>
      </c>
      <c r="D26" s="48">
        <f t="shared" si="4"/>
        <v>1675.5111186526483</v>
      </c>
      <c r="E26" s="48">
        <f t="shared" si="4"/>
        <v>1795.2103307170328</v>
      </c>
      <c r="F26" s="48">
        <f t="shared" si="4"/>
        <v>1947.7530755334737</v>
      </c>
      <c r="G26" s="48">
        <f t="shared" si="4"/>
        <v>2099.3225600703008</v>
      </c>
      <c r="H26" s="48">
        <f t="shared" si="4"/>
        <v>2264.489800148076</v>
      </c>
      <c r="I26" s="48">
        <f t="shared" si="4"/>
        <v>2435.4833824022862</v>
      </c>
      <c r="J26" s="48">
        <f t="shared" si="4"/>
        <v>2636.9161499080292</v>
      </c>
      <c r="K26" s="48">
        <f t="shared" si="4"/>
        <v>2846.4066737854882</v>
      </c>
      <c r="L26" s="48">
        <f t="shared" si="4"/>
        <v>3073.3273695007956</v>
      </c>
      <c r="M26" s="48">
        <f t="shared" si="4"/>
        <v>3315.0014184422907</v>
      </c>
      <c r="N26" s="48">
        <f t="shared" si="4"/>
        <v>3583.9218365136476</v>
      </c>
      <c r="O26" s="48">
        <f t="shared" si="4"/>
        <v>3873.2859363029929</v>
      </c>
      <c r="P26" s="48">
        <f t="shared" si="4"/>
        <v>4185.3865318728349</v>
      </c>
      <c r="Q26" s="48">
        <f t="shared" si="4"/>
        <v>4524.5055368929588</v>
      </c>
      <c r="R26" s="48">
        <f t="shared" si="4"/>
        <v>4902.1120599982796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-108.96635458272804</v>
      </c>
      <c r="X26" s="48">
        <f t="shared" si="4"/>
        <v>-633.5848280001187</v>
      </c>
      <c r="Y26" s="48">
        <f t="shared" si="4"/>
        <v>-703.85454603364178</v>
      </c>
      <c r="Z26" s="48">
        <f t="shared" si="4"/>
        <v>-778.46316300204398</v>
      </c>
      <c r="AA26" s="48">
        <f t="shared" si="4"/>
        <v>-861.74041310023586</v>
      </c>
      <c r="AB26" s="48">
        <f t="shared" si="4"/>
        <v>-951.88236975396558</v>
      </c>
      <c r="AC26" s="48">
        <f t="shared" si="4"/>
        <v>-1051.9750602101012</v>
      </c>
      <c r="AD26" s="48">
        <f t="shared" si="4"/>
        <v>-1156.0486437581967</v>
      </c>
      <c r="AE26" s="48">
        <f t="shared" si="4"/>
        <v>-1273.5413219319835</v>
      </c>
      <c r="AF26" s="48">
        <f t="shared" si="4"/>
        <v>-1593.1853322991628</v>
      </c>
      <c r="AG26"/>
    </row>
    <row r="27" spans="1:33">
      <c r="A27" s="48" t="s">
        <v>57</v>
      </c>
      <c r="B27"/>
      <c r="C27" s="386">
        <f t="shared" ref="C27:AF27" si="5">C24*(C23-B41)/(C41-B41)*$E$64</f>
        <v>1852.4649789049631</v>
      </c>
      <c r="D27" s="386">
        <f t="shared" si="5"/>
        <v>1788.4419824944782</v>
      </c>
      <c r="E27" s="386">
        <f t="shared" si="5"/>
        <v>1732.632882579207</v>
      </c>
      <c r="F27" s="386">
        <f t="shared" si="5"/>
        <v>1643.0259929837855</v>
      </c>
      <c r="G27" s="386">
        <f t="shared" si="5"/>
        <v>1561.7079058157485</v>
      </c>
      <c r="H27" s="386">
        <f t="shared" si="5"/>
        <v>1473.9150403277765</v>
      </c>
      <c r="I27" s="386">
        <f t="shared" si="5"/>
        <v>1390.5133878279937</v>
      </c>
      <c r="J27" s="386">
        <f t="shared" si="5"/>
        <v>1276.8349888289272</v>
      </c>
      <c r="K27" s="386">
        <f t="shared" si="5"/>
        <v>1166.4771386633081</v>
      </c>
      <c r="L27" s="386">
        <f t="shared" si="5"/>
        <v>1047.2265508566404</v>
      </c>
      <c r="M27" s="386">
        <f t="shared" si="5"/>
        <v>925.97673436409843</v>
      </c>
      <c r="N27" s="386">
        <f t="shared" si="5"/>
        <v>779.18772165353744</v>
      </c>
      <c r="O27" s="386">
        <f t="shared" si="5"/>
        <v>628.9267741646488</v>
      </c>
      <c r="P27" s="386">
        <f t="shared" si="5"/>
        <v>466.43832402799063</v>
      </c>
      <c r="Q27" s="386">
        <f t="shared" si="5"/>
        <v>293.20115141688177</v>
      </c>
      <c r="R27" s="386">
        <f t="shared" si="5"/>
        <v>100.82905832996461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4.5752532712753569</v>
      </c>
      <c r="Y27" s="386">
        <f t="shared" si="5"/>
        <v>31.435598339758453</v>
      </c>
      <c r="Z27" s="386">
        <f t="shared" si="5"/>
        <v>60.728984083905154</v>
      </c>
      <c r="AA27" s="386">
        <f t="shared" si="5"/>
        <v>93.432048713867417</v>
      </c>
      <c r="AB27" s="386">
        <f t="shared" si="5"/>
        <v>129.63571756841739</v>
      </c>
      <c r="AC27" s="386">
        <f t="shared" si="5"/>
        <v>171.02795128110503</v>
      </c>
      <c r="AD27" s="386">
        <f t="shared" si="5"/>
        <v>213.79052761744029</v>
      </c>
      <c r="AE27" s="386">
        <f t="shared" si="5"/>
        <v>262.39075909833213</v>
      </c>
      <c r="AF27" s="386">
        <f t="shared" si="5"/>
        <v>315.92321545812456</v>
      </c>
      <c r="AG27"/>
    </row>
    <row r="28" spans="1:33">
      <c r="A28" s="48" t="s">
        <v>58</v>
      </c>
      <c r="B28"/>
      <c r="C28" s="161">
        <f t="shared" ref="C28:AF28" si="6">MAX(C24+C25+B44+C27-0.5*C13,0)</f>
        <v>88527.83775596715</v>
      </c>
      <c r="D28" s="161">
        <f t="shared" si="6"/>
        <v>85275.048136823156</v>
      </c>
      <c r="E28" s="161">
        <f t="shared" si="6"/>
        <v>81754.675706699272</v>
      </c>
      <c r="F28" s="161">
        <f t="shared" si="6"/>
        <v>77932.964532069804</v>
      </c>
      <c r="G28" s="161">
        <f t="shared" si="6"/>
        <v>73827.868332070648</v>
      </c>
      <c r="H28" s="161">
        <f t="shared" si="6"/>
        <v>69394.383289380858</v>
      </c>
      <c r="I28" s="161">
        <f t="shared" si="6"/>
        <v>64616.94085278159</v>
      </c>
      <c r="J28" s="161">
        <f t="shared" si="6"/>
        <v>59440.309414202318</v>
      </c>
      <c r="K28" s="161">
        <f t="shared" si="6"/>
        <v>53865.435565589461</v>
      </c>
      <c r="L28" s="161">
        <f t="shared" si="6"/>
        <v>47840.783994158715</v>
      </c>
      <c r="M28" s="161">
        <f t="shared" si="6"/>
        <v>41336.841108205932</v>
      </c>
      <c r="N28" s="161">
        <f t="shared" si="6"/>
        <v>34298.664697424567</v>
      </c>
      <c r="O28" s="161">
        <f t="shared" si="6"/>
        <v>26703.906547226383</v>
      </c>
      <c r="P28" s="161">
        <f t="shared" si="6"/>
        <v>18491.934583041126</v>
      </c>
      <c r="Q28" s="161">
        <f t="shared" si="6"/>
        <v>9614.0480096918545</v>
      </c>
      <c r="R28" s="161">
        <f t="shared" si="6"/>
        <v>0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108.96635458272804</v>
      </c>
      <c r="X28" s="161">
        <f t="shared" si="6"/>
        <v>856.02471398287003</v>
      </c>
      <c r="Y28" s="161">
        <f t="shared" si="6"/>
        <v>2219.7213434449191</v>
      </c>
      <c r="Z28" s="161">
        <f t="shared" si="6"/>
        <v>3730.987863718045</v>
      </c>
      <c r="AA28" s="161">
        <f t="shared" si="6"/>
        <v>5404.2242999549289</v>
      </c>
      <c r="AB28" s="161">
        <f t="shared" si="6"/>
        <v>7254.5179891309008</v>
      </c>
      <c r="AC28" s="161">
        <f t="shared" si="6"/>
        <v>9299.1727109195126</v>
      </c>
      <c r="AD28" s="161">
        <f t="shared" si="6"/>
        <v>11550.126909541174</v>
      </c>
      <c r="AE28" s="161">
        <f t="shared" si="6"/>
        <v>14030.468004701377</v>
      </c>
      <c r="AF28" s="161">
        <f t="shared" si="6"/>
        <v>16952.755581012512</v>
      </c>
      <c r="AG28"/>
    </row>
    <row r="29" spans="1:33">
      <c r="A29" s="48" t="s">
        <v>329</v>
      </c>
      <c r="B29"/>
      <c r="C29" s="161">
        <f>(C23-B41)/(C41-B41)*IS!D32+(B41-B32)/(B41-Assumptions!H17)*IS!C32</f>
        <v>6765.4915527270805</v>
      </c>
      <c r="D29" s="161">
        <f>(D23-C41)/(D41-C41)*IS!E32+(C41-C32)/(C41-B41)*IS!D32</f>
        <v>6812.4735501400664</v>
      </c>
      <c r="E29" s="161">
        <f>(E23-D41)/(E41-D41)*IS!F32+(D41-D32)/(D41-C41)*IS!E32</f>
        <v>6828.0208953768015</v>
      </c>
      <c r="F29" s="161">
        <f>(F23-E41)/(F41-E41)*IS!G32+(E41-E32)/(E41-D41)*IS!F32</f>
        <v>6778.0654289622835</v>
      </c>
      <c r="G29" s="161">
        <f>(G23-F41)/(G41-F41)*IS!H32+(F41-F32)/(F41-E41)*IS!G32</f>
        <v>6774.2777052900128</v>
      </c>
      <c r="H29" s="161">
        <f>(H23-G41)/(H41-G41)*IS!I32+(G41-G32)/(G41-F41)*IS!H32</f>
        <v>6760.8595305160306</v>
      </c>
      <c r="I29" s="161">
        <f>(I23-H41)/(I41-H41)*IS!J32+(H41-H32)/(H41-G41)*IS!I32</f>
        <v>6774.8069780572132</v>
      </c>
      <c r="J29" s="161">
        <f>(J23-I41)/(J41-I41)*IS!K32+(I41-I32)/(I41-H41)*IS!J32</f>
        <v>6723.7286898902839</v>
      </c>
      <c r="K29" s="161">
        <f>(K23-J41)/(K41-J41)*IS!L32+(J41-J32)/(J41-I41)*IS!K32</f>
        <v>6718.4115346667959</v>
      </c>
      <c r="L29" s="161">
        <f>(L23-K41)/(L41-K41)*IS!M32+(K41-K32)/(K41-J41)*IS!L32</f>
        <v>6703.4971199550982</v>
      </c>
      <c r="M29" s="161">
        <f>(M23-L41)/(M41-L41)*IS!N32+(L41-L32)/(L41-K41)*IS!M32</f>
        <v>6715.6615525558009</v>
      </c>
      <c r="N29" s="161">
        <f>(N23-M41)/(N41-M41)*IS!O32+(M41-M32)/(M41-L41)*IS!N32</f>
        <v>6663.3302846282768</v>
      </c>
      <c r="O29" s="161">
        <f>(O23-N41)/(O41-N41)*IS!P32+(N41-N32)/(N41-M41)*IS!O32</f>
        <v>6656.3079494744361</v>
      </c>
      <c r="P29" s="161">
        <f>(P23-O41)/(P41-O41)*IS!Q32+(O41-O32)/(O41-N41)*IS!P32</f>
        <v>6639.7249891714719</v>
      </c>
      <c r="Q29" s="161">
        <f>(Q23-P41)/(Q41-P41)*IS!R32+(P41-P32)/(P41-O41)*IS!Q32</f>
        <v>6649.9017644904961</v>
      </c>
      <c r="R29" s="161">
        <f>(R23-Q41)/(R41-Q41)*IS!S32+(Q41-Q32)/(Q41-P41)*IS!R32</f>
        <v>6609.5639899169128</v>
      </c>
      <c r="S29" s="161">
        <f>(S23-R41)/(S41-R41)*IS!T32+(R41-R32)/(R41-Q41)*IS!S32</f>
        <v>6620.7281240568473</v>
      </c>
      <c r="T29" s="161">
        <f>(T23-S41)/(T41-S41)*IS!U32+(S41-S32)/(S41-R41)*IS!T32</f>
        <v>6608.9800029631551</v>
      </c>
      <c r="U29" s="161">
        <f>(U23-T41)/(U41-T41)*IS!V32+(T41-T32)/(T41-S41)*IS!U32</f>
        <v>6617.1056319926975</v>
      </c>
      <c r="V29" s="161">
        <f>(V23-U41)/(V41-U41)*IS!W32+(U41-U32)/(U41-T41)*IS!V32</f>
        <v>4193.1756281773505</v>
      </c>
      <c r="W29" s="161">
        <f>(W23-V41)/(W41-V41)*IS!X32+(V41-V32)/(V41-U41)*IS!W32</f>
        <v>514.97993529978794</v>
      </c>
      <c r="X29" s="161">
        <f>(X23-W41)/(X41-W41)*IS!Y32+(W41-W32)/(W41-V41)*IS!X32</f>
        <v>-804.32764256720702</v>
      </c>
      <c r="Y29" s="161">
        <f>(Y23-X41)/(Y41-X41)*IS!Z32+(X41-X32)/(X41-W41)*IS!Y32</f>
        <v>-828.8433365335145</v>
      </c>
      <c r="Z29" s="161">
        <f>(Z23-Y41)/(Z41-Y41)*IS!AA32+(Y41-Y32)/(Y41-X41)*IS!Z32</f>
        <v>-845.90982685216795</v>
      </c>
      <c r="AA29" s="161">
        <f>(AA23-Z41)/(AA41-Z41)*IS!AB32+(Z41-Z32)/(Z41-Y41)*IS!AA32</f>
        <v>-869.28696816773299</v>
      </c>
      <c r="AB29" s="161">
        <f>(AB23-AA41)/(AB41-AA41)*IS!AC32+(AA41-AA32)/(AA41-Z41)*IS!AB32</f>
        <v>-892.12543545716517</v>
      </c>
      <c r="AC29" s="161">
        <f>(AC23-AB41)/(AC41-AB41)*IS!AD32+(AB41-AB32)/(AB41-AA41)*IS!AC32</f>
        <v>-919.39928759457928</v>
      </c>
      <c r="AD29" s="161">
        <f>(AD23-AC41)/(AD41-AC41)*IS!AE32+(AC41-AC32)/(AC41-AB41)*IS!AD32</f>
        <v>-938.4137013375838</v>
      </c>
      <c r="AE29" s="161">
        <f>(AE23-AD41)/(AE41-AD41)*IS!AF32+(AD41-AD32)/(AD41-AC41)*IS!AE32</f>
        <v>-964.43269585533403</v>
      </c>
      <c r="AF29" s="161">
        <f>(AF23-AE41)/(AG23-AE41)*IS!AG32+(AE41-AE32)/(AE41-AD41)*IS!AF32</f>
        <v>-2000.8876535033851</v>
      </c>
      <c r="AG29"/>
    </row>
    <row r="30" spans="1:33">
      <c r="A30" s="406" t="s">
        <v>0</v>
      </c>
      <c r="B30" s="408"/>
      <c r="C30" s="407">
        <f>IF(C28&gt;0.1,C29/(C27+C26+B44)," ")</f>
        <v>1.2913568192999028</v>
      </c>
      <c r="D30" s="407">
        <f t="shared" ref="D30:AF30" si="7">IF(D28&gt;0.1,D29/(D27+D26+C44)," ")</f>
        <v>1.29702229966616</v>
      </c>
      <c r="E30" s="407">
        <f t="shared" si="7"/>
        <v>1.3014831070892177</v>
      </c>
      <c r="F30" s="407">
        <f t="shared" si="7"/>
        <v>1.2961667517083812</v>
      </c>
      <c r="G30" s="407">
        <f t="shared" si="7"/>
        <v>1.2970739147101207</v>
      </c>
      <c r="H30" s="407">
        <f t="shared" si="7"/>
        <v>1.2970922132802123</v>
      </c>
      <c r="I30" s="407">
        <f t="shared" si="7"/>
        <v>1.3015549268765572</v>
      </c>
      <c r="J30" s="407">
        <f t="shared" si="7"/>
        <v>1.2962410443078896</v>
      </c>
      <c r="K30" s="407">
        <f t="shared" si="7"/>
        <v>1.2971506713051595</v>
      </c>
      <c r="L30" s="407">
        <f t="shared" si="7"/>
        <v>1.2971714176512286</v>
      </c>
      <c r="M30" s="407">
        <f t="shared" si="7"/>
        <v>1.3016363342200208</v>
      </c>
      <c r="N30" s="407">
        <f t="shared" si="7"/>
        <v>1.2963253008102156</v>
      </c>
      <c r="O30" s="407">
        <f t="shared" si="7"/>
        <v>1.297237771339097</v>
      </c>
      <c r="P30" s="407">
        <f t="shared" si="7"/>
        <v>1.2972613474057066</v>
      </c>
      <c r="Q30" s="407">
        <f t="shared" si="7"/>
        <v>1.3017288203373329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>
        <f t="shared" si="7"/>
        <v>-4.7260453675984131</v>
      </c>
      <c r="X30" s="407">
        <f t="shared" si="7"/>
        <v>1.2880900599597538</v>
      </c>
      <c r="Y30" s="407">
        <f t="shared" si="7"/>
        <v>1.2925636704224308</v>
      </c>
      <c r="Z30" s="407">
        <f t="shared" si="7"/>
        <v>1.2871987216037382</v>
      </c>
      <c r="AA30" s="407">
        <f t="shared" si="7"/>
        <v>1.2880685660179163</v>
      </c>
      <c r="AB30" s="407">
        <f t="shared" si="7"/>
        <v>1.2880614366135068</v>
      </c>
      <c r="AC30" s="407">
        <f t="shared" si="7"/>
        <v>1.2925352347559458</v>
      </c>
      <c r="AD30" s="407">
        <f t="shared" si="7"/>
        <v>1.2871702805109739</v>
      </c>
      <c r="AE30" s="407">
        <f t="shared" si="7"/>
        <v>1.2880401579306113</v>
      </c>
      <c r="AF30" s="407">
        <f t="shared" si="7"/>
        <v>2.0813551294190327</v>
      </c>
      <c r="AG30"/>
    </row>
    <row r="31" spans="1:33">
      <c r="A31" s="11"/>
      <c r="B31" s="382"/>
      <c r="C31" s="53"/>
      <c r="AG31"/>
    </row>
    <row r="32" spans="1:33">
      <c r="A32" s="405" t="s">
        <v>414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55</v>
      </c>
      <c r="B33" s="383">
        <f>B19</f>
        <v>91250.396034021513</v>
      </c>
      <c r="C33" s="48">
        <f>C28</f>
        <v>88527.83775596715</v>
      </c>
      <c r="D33" s="48">
        <f t="shared" ref="D33:AF33" si="8">D28</f>
        <v>85275.048136823156</v>
      </c>
      <c r="E33" s="48">
        <f t="shared" si="8"/>
        <v>81754.675706699272</v>
      </c>
      <c r="F33" s="48">
        <f t="shared" si="8"/>
        <v>77932.964532069804</v>
      </c>
      <c r="G33" s="48">
        <f t="shared" si="8"/>
        <v>73827.868332070648</v>
      </c>
      <c r="H33" s="48">
        <f t="shared" si="8"/>
        <v>69394.383289380858</v>
      </c>
      <c r="I33" s="48">
        <f t="shared" si="8"/>
        <v>64616.94085278159</v>
      </c>
      <c r="J33" s="48">
        <f t="shared" si="8"/>
        <v>59440.309414202318</v>
      </c>
      <c r="K33" s="48">
        <f t="shared" si="8"/>
        <v>53865.435565589461</v>
      </c>
      <c r="L33" s="48">
        <f t="shared" si="8"/>
        <v>47840.783994158715</v>
      </c>
      <c r="M33" s="48">
        <f t="shared" si="8"/>
        <v>41336.841108205932</v>
      </c>
      <c r="N33" s="48">
        <f t="shared" si="8"/>
        <v>34298.664697424567</v>
      </c>
      <c r="O33" s="48">
        <f t="shared" si="8"/>
        <v>26703.906547226383</v>
      </c>
      <c r="P33" s="48">
        <f t="shared" si="8"/>
        <v>18491.934583041126</v>
      </c>
      <c r="Q33" s="48">
        <f t="shared" si="8"/>
        <v>9614.0480096918545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108.96635458272804</v>
      </c>
      <c r="X33" s="48">
        <f t="shared" si="8"/>
        <v>856.02471398287003</v>
      </c>
      <c r="Y33" s="48">
        <f t="shared" si="8"/>
        <v>2219.7213434449191</v>
      </c>
      <c r="Z33" s="48">
        <f t="shared" si="8"/>
        <v>3730.987863718045</v>
      </c>
      <c r="AA33" s="48">
        <f t="shared" si="8"/>
        <v>5404.2242999549289</v>
      </c>
      <c r="AB33" s="48">
        <f t="shared" si="8"/>
        <v>7254.5179891309008</v>
      </c>
      <c r="AC33" s="48">
        <f t="shared" si="8"/>
        <v>9299.1727109195126</v>
      </c>
      <c r="AD33" s="48">
        <f t="shared" si="8"/>
        <v>11550.126909541174</v>
      </c>
      <c r="AE33" s="48">
        <f t="shared" si="8"/>
        <v>14030.468004701377</v>
      </c>
      <c r="AF33" s="48">
        <f t="shared" si="8"/>
        <v>16952.755581012512</v>
      </c>
      <c r="AG33"/>
    </row>
    <row r="34" spans="1:39">
      <c r="A34" s="48" t="s">
        <v>327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56</v>
      </c>
      <c r="B35" s="48">
        <f>B33-B37</f>
        <v>1187.1636263876135</v>
      </c>
      <c r="C35" s="48">
        <f>C33-C37</f>
        <v>1577.2785004913458</v>
      </c>
      <c r="D35" s="48">
        <f t="shared" ref="D35:AF35" si="9">D33-D37</f>
        <v>1725.1620994068508</v>
      </c>
      <c r="E35" s="48">
        <f t="shared" si="9"/>
        <v>1873.9580990959948</v>
      </c>
      <c r="F35" s="48">
        <f t="shared" si="9"/>
        <v>2005.7736399288551</v>
      </c>
      <c r="G35" s="48">
        <f t="shared" si="9"/>
        <v>2168.9952425417141</v>
      </c>
      <c r="H35" s="48">
        <f t="shared" si="9"/>
        <v>2341.959054196981</v>
      </c>
      <c r="I35" s="48">
        <f t="shared" si="9"/>
        <v>2539.7152886712429</v>
      </c>
      <c r="J35" s="48">
        <f t="shared" si="9"/>
        <v>2728.4671748273686</v>
      </c>
      <c r="K35" s="48">
        <f t="shared" si="9"/>
        <v>2951.3242019299505</v>
      </c>
      <c r="L35" s="48">
        <f t="shared" si="9"/>
        <v>3188.9414675104927</v>
      </c>
      <c r="M35" s="48">
        <f t="shared" si="9"/>
        <v>3454.2545742677175</v>
      </c>
      <c r="N35" s="48">
        <f t="shared" si="9"/>
        <v>3721.4722138951911</v>
      </c>
      <c r="O35" s="48">
        <f t="shared" si="9"/>
        <v>4026.5854323124222</v>
      </c>
      <c r="P35" s="48">
        <f t="shared" si="9"/>
        <v>4353.3810364563124</v>
      </c>
      <c r="Q35" s="48">
        <f t="shared" si="9"/>
        <v>4711.9359496935749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-113.47353140002322</v>
      </c>
      <c r="X35" s="48">
        <f t="shared" si="9"/>
        <v>-659.84208342840725</v>
      </c>
      <c r="Y35" s="48">
        <f t="shared" si="9"/>
        <v>-732.80335727108195</v>
      </c>
      <c r="Z35" s="48">
        <f t="shared" si="9"/>
        <v>-811.49602313664809</v>
      </c>
      <c r="AA35" s="48">
        <f t="shared" si="9"/>
        <v>-898.41131942200627</v>
      </c>
      <c r="AB35" s="48">
        <f t="shared" si="9"/>
        <v>-992.6796615785106</v>
      </c>
      <c r="AC35" s="48">
        <f t="shared" si="9"/>
        <v>-1094.9055548634642</v>
      </c>
      <c r="AD35" s="48">
        <f t="shared" si="9"/>
        <v>-1206.7997732282201</v>
      </c>
      <c r="AE35" s="48">
        <f t="shared" si="9"/>
        <v>-1329.1022440119723</v>
      </c>
      <c r="AF35" s="48">
        <f t="shared" si="9"/>
        <v>-1076.2925179938902</v>
      </c>
      <c r="AG35"/>
    </row>
    <row r="36" spans="1:39">
      <c r="A36" s="48" t="s">
        <v>57</v>
      </c>
      <c r="B36" s="386">
        <f>B33*(B32-Assumptions!H17)/365.25*$E$64</f>
        <v>3153.4787787527357</v>
      </c>
      <c r="C36" s="386">
        <f t="shared" ref="C36:AF36" si="10">C33*(C32-C23)/(C41-B41)*$E$64</f>
        <v>3661.7781658101753</v>
      </c>
      <c r="D36" s="386">
        <f t="shared" si="10"/>
        <v>3527.2329842347604</v>
      </c>
      <c r="E36" s="386">
        <f t="shared" si="10"/>
        <v>3372.3803729013453</v>
      </c>
      <c r="F36" s="386">
        <f t="shared" si="10"/>
        <v>3223.5422795148597</v>
      </c>
      <c r="G36" s="386">
        <f t="shared" si="10"/>
        <v>3053.7431291601006</v>
      </c>
      <c r="H36" s="386">
        <f t="shared" si="10"/>
        <v>2870.3608266066508</v>
      </c>
      <c r="I36" s="386">
        <f t="shared" si="10"/>
        <v>2665.4488101772408</v>
      </c>
      <c r="J36" s="386">
        <f t="shared" si="10"/>
        <v>2458.6303325504641</v>
      </c>
      <c r="K36" s="386">
        <f t="shared" si="10"/>
        <v>2228.0367491821562</v>
      </c>
      <c r="L36" s="386">
        <f t="shared" si="10"/>
        <v>1978.8390037035924</v>
      </c>
      <c r="M36" s="386">
        <f t="shared" si="10"/>
        <v>1705.1446957134947</v>
      </c>
      <c r="N36" s="386">
        <f t="shared" si="10"/>
        <v>1418.6961377242942</v>
      </c>
      <c r="O36" s="386">
        <f t="shared" si="10"/>
        <v>1104.554052319864</v>
      </c>
      <c r="P36" s="386">
        <f t="shared" si="10"/>
        <v>764.88214347250255</v>
      </c>
      <c r="Q36" s="386">
        <f t="shared" si="10"/>
        <v>396.57948039978902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4.5071768172951687</v>
      </c>
      <c r="X36" s="386">
        <f t="shared" si="10"/>
        <v>35.407761970839395</v>
      </c>
      <c r="Y36" s="386">
        <f t="shared" si="10"/>
        <v>91.563505417102917</v>
      </c>
      <c r="Z36" s="386">
        <f t="shared" si="10"/>
        <v>154.32490211639228</v>
      </c>
      <c r="AA36" s="386">
        <f t="shared" si="10"/>
        <v>223.53500374950559</v>
      </c>
      <c r="AB36" s="386">
        <f t="shared" si="10"/>
        <v>300.06872696138021</v>
      </c>
      <c r="AC36" s="386">
        <f t="shared" si="10"/>
        <v>383.59087432542992</v>
      </c>
      <c r="AD36" s="386">
        <f t="shared" si="10"/>
        <v>477.7480575802681</v>
      </c>
      <c r="AE36" s="386">
        <f t="shared" si="10"/>
        <v>580.34244027665488</v>
      </c>
      <c r="AF36" s="386">
        <f t="shared" si="10"/>
        <v>114.95361661097526</v>
      </c>
      <c r="AG36"/>
    </row>
    <row r="37" spans="1:39">
      <c r="A37" s="48" t="s">
        <v>58</v>
      </c>
      <c r="B37" s="161">
        <f>MAX(B33+B34+B36-B13,0)</f>
        <v>90063.232407633899</v>
      </c>
      <c r="C37" s="161">
        <f>MAX(C33+C34+C36-0.5*C13,0)</f>
        <v>86950.559255475804</v>
      </c>
      <c r="D37" s="161">
        <f t="shared" ref="D37:AF37" si="11">MAX(D33+D34+D36-0.5*D13,0)</f>
        <v>83549.886037416305</v>
      </c>
      <c r="E37" s="161">
        <f t="shared" si="11"/>
        <v>79880.717607603277</v>
      </c>
      <c r="F37" s="161">
        <f t="shared" si="11"/>
        <v>75927.190892140949</v>
      </c>
      <c r="G37" s="161">
        <f t="shared" si="11"/>
        <v>71658.873089528934</v>
      </c>
      <c r="H37" s="161">
        <f t="shared" si="11"/>
        <v>67052.424235183877</v>
      </c>
      <c r="I37" s="161">
        <f t="shared" si="11"/>
        <v>62077.225564110347</v>
      </c>
      <c r="J37" s="161">
        <f t="shared" si="11"/>
        <v>56711.84223937495</v>
      </c>
      <c r="K37" s="161">
        <f t="shared" si="11"/>
        <v>50914.111363659511</v>
      </c>
      <c r="L37" s="161">
        <f t="shared" si="11"/>
        <v>44651.842526648223</v>
      </c>
      <c r="M37" s="161">
        <f t="shared" si="11"/>
        <v>37882.586533938214</v>
      </c>
      <c r="N37" s="161">
        <f t="shared" si="11"/>
        <v>30577.192483529376</v>
      </c>
      <c r="O37" s="161">
        <f t="shared" si="11"/>
        <v>22677.321114913961</v>
      </c>
      <c r="P37" s="161">
        <f t="shared" si="11"/>
        <v>14138.553546584813</v>
      </c>
      <c r="Q37" s="161">
        <f t="shared" si="11"/>
        <v>4902.1120599982796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222.43988598275126</v>
      </c>
      <c r="X37" s="161">
        <f t="shared" si="11"/>
        <v>1515.8667974112773</v>
      </c>
      <c r="Y37" s="161">
        <f t="shared" si="11"/>
        <v>2952.524700716001</v>
      </c>
      <c r="Z37" s="161">
        <f t="shared" si="11"/>
        <v>4542.4838868546931</v>
      </c>
      <c r="AA37" s="161">
        <f t="shared" si="11"/>
        <v>6302.6356193769352</v>
      </c>
      <c r="AB37" s="161">
        <f t="shared" si="11"/>
        <v>8247.1976507094114</v>
      </c>
      <c r="AC37" s="161">
        <f t="shared" si="11"/>
        <v>10394.078265782977</v>
      </c>
      <c r="AD37" s="161">
        <f t="shared" si="11"/>
        <v>12756.926682769394</v>
      </c>
      <c r="AE37" s="161">
        <f t="shared" si="11"/>
        <v>15359.570248713349</v>
      </c>
      <c r="AF37" s="161">
        <f t="shared" si="11"/>
        <v>18029.048099006402</v>
      </c>
      <c r="AG37"/>
    </row>
    <row r="38" spans="1:39">
      <c r="A38" s="48" t="s">
        <v>329</v>
      </c>
      <c r="B38" s="161">
        <f>(B32-Assumptions!H17)/(Debt!B41-Assumptions!H17)*IS!C32</f>
        <v>5642.8351266824566</v>
      </c>
      <c r="C38" s="161">
        <f>(C32-C23)/(C41-B41)*IS!D32</f>
        <v>6856.0557796568683</v>
      </c>
      <c r="D38" s="161">
        <f>(D32-D23)/(D41-C41)*IS!E32</f>
        <v>6843.7536673281011</v>
      </c>
      <c r="E38" s="161">
        <f>(E32-E23)/(E41-D41)*IS!F32</f>
        <v>6812.4591318162784</v>
      </c>
      <c r="F38" s="161">
        <f>(F32-F23)/(F41-E41)*IS!G32</f>
        <v>6818.1559615913902</v>
      </c>
      <c r="G38" s="161">
        <f>(G32-G23)/(G41-F41)*IS!H32</f>
        <v>6804.8420611346819</v>
      </c>
      <c r="H38" s="161">
        <f>(H32-H23)/(H41-G41)*IS!I32</f>
        <v>6791.1721595733807</v>
      </c>
      <c r="I38" s="161">
        <f>(I32-I23)/(I41-H41)*IS!J32</f>
        <v>6758.6196789488295</v>
      </c>
      <c r="J38" s="161">
        <f>(J32-J23)/(J41-I41)*IS!K32</f>
        <v>6762.7248292920722</v>
      </c>
      <c r="K38" s="161">
        <f>(K32-K23)/(K41-J41)*IS!L32</f>
        <v>6747.926938224673</v>
      </c>
      <c r="L38" s="161">
        <f>(L32-L23)/(L41-K41)*IS!M32</f>
        <v>6732.7321052015159</v>
      </c>
      <c r="M38" s="161">
        <f>(M32-M23)/(M41-L41)*IS!N32</f>
        <v>6698.7765493953666</v>
      </c>
      <c r="N38" s="161">
        <f>(N32-N23)/(N41-M41)*IS!O32</f>
        <v>6701.1074295823773</v>
      </c>
      <c r="O38" s="161">
        <f>(O32-O23)/(O41-N41)*IS!P32</f>
        <v>6684.6547105695126</v>
      </c>
      <c r="P38" s="161">
        <f>(P32-P23)/(P41-O41)*IS!Q32</f>
        <v>6667.7592786434479</v>
      </c>
      <c r="Q38" s="161">
        <f>(Q32-Q23)/(Q41-P41)*IS!R32</f>
        <v>6632.2383537522492</v>
      </c>
      <c r="R38" s="161">
        <f>(R32-R23)/(R41-Q41)*IS!S32</f>
        <v>6659.5221973993448</v>
      </c>
      <c r="S38" s="161">
        <f>(S32-S23)/(S41-R41)*IS!T32</f>
        <v>6654.6893048248658</v>
      </c>
      <c r="T38" s="161">
        <f>(T32-T23)/(T41-S41)*IS!U32</f>
        <v>6635.8968549801639</v>
      </c>
      <c r="U38" s="161">
        <f>(U32-U23)/(U41-T41)*IS!V32</f>
        <v>6598.5186614290087</v>
      </c>
      <c r="V38" s="161">
        <f>(V32-V23)/(V41-U41)*IS!W32</f>
        <v>1833.9114479825864</v>
      </c>
      <c r="W38" s="161">
        <f>(W32-W23)/(W41-V41)*IS!X32</f>
        <v>-798.29245721488087</v>
      </c>
      <c r="X38" s="161">
        <f>(X32-X23)/(X41-W41)*IS!Y32</f>
        <v>-819.2015932224698</v>
      </c>
      <c r="Y38" s="161">
        <f>(Y32-Y23)/(Y41-X41)*IS!Z32</f>
        <v>-838.38027828683062</v>
      </c>
      <c r="Z38" s="161">
        <f>(Z32-Z23)/(Z41-Y41)*IS!AA32</f>
        <v>-862.7350878004961</v>
      </c>
      <c r="AA38" s="161">
        <f>(AA32-AA23)/(AA41-Z41)*IS!AB32</f>
        <v>-885.39145258076917</v>
      </c>
      <c r="AB38" s="161">
        <f>(AB32-AB23)/(AB41-AA41)*IS!AC32</f>
        <v>-908.66299454737646</v>
      </c>
      <c r="AC38" s="161">
        <f>(AC32-AC23)/(AC41-AB41)*IS!AD32</f>
        <v>-930.01888180431251</v>
      </c>
      <c r="AD38" s="161">
        <f>(AD32-AD23)/(AD41-AC41)*IS!AE32</f>
        <v>-957.12075934709242</v>
      </c>
      <c r="AE38" s="161">
        <f>(AE32-AE23)/(AE41-AD41)*IS!AF32</f>
        <v>-982.34279385649177</v>
      </c>
      <c r="AF38" s="161">
        <f>(AF32-AF23)/(AG23-AE41)*IS!AG32</f>
        <v>-498.59349009219727</v>
      </c>
      <c r="AG38"/>
    </row>
    <row r="39" spans="1:39">
      <c r="A39" s="406" t="s">
        <v>0</v>
      </c>
      <c r="B39" s="407">
        <f t="shared" ref="B39:AF39" si="12">IF(B37&gt;0.1,B38/(B36+B35)," ")</f>
        <v>1.3000000000000007</v>
      </c>
      <c r="C39" s="407">
        <f t="shared" si="12"/>
        <v>1.3086431807000967</v>
      </c>
      <c r="D39" s="407">
        <f t="shared" si="12"/>
        <v>1.3029777003338374</v>
      </c>
      <c r="E39" s="407">
        <f t="shared" si="12"/>
        <v>1.2985168929107807</v>
      </c>
      <c r="F39" s="407">
        <f t="shared" si="12"/>
        <v>1.3038332482916224</v>
      </c>
      <c r="G39" s="407">
        <f t="shared" si="12"/>
        <v>1.302926085289879</v>
      </c>
      <c r="H39" s="407">
        <f t="shared" si="12"/>
        <v>1.3029077867197825</v>
      </c>
      <c r="I39" s="407">
        <f t="shared" si="12"/>
        <v>1.2984450731234412</v>
      </c>
      <c r="J39" s="407">
        <f t="shared" si="12"/>
        <v>1.3037589556921103</v>
      </c>
      <c r="K39" s="407">
        <f t="shared" si="12"/>
        <v>1.3028493286948393</v>
      </c>
      <c r="L39" s="407">
        <f t="shared" si="12"/>
        <v>1.3028285823487722</v>
      </c>
      <c r="M39" s="407">
        <f t="shared" si="12"/>
        <v>1.2983636657799813</v>
      </c>
      <c r="N39" s="407">
        <f t="shared" si="12"/>
        <v>1.3036746991897834</v>
      </c>
      <c r="O39" s="407">
        <f t="shared" si="12"/>
        <v>1.3027622286609026</v>
      </c>
      <c r="P39" s="407">
        <f t="shared" si="12"/>
        <v>1.3027386525942934</v>
      </c>
      <c r="Q39" s="407">
        <f t="shared" si="12"/>
        <v>1.2982711796626671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>
        <f t="shared" si="12"/>
        <v>7.3260453675984127</v>
      </c>
      <c r="X39" s="407">
        <f t="shared" si="12"/>
        <v>1.3119099400402463</v>
      </c>
      <c r="Y39" s="407">
        <f t="shared" si="12"/>
        <v>1.3074363295775693</v>
      </c>
      <c r="Z39" s="407">
        <f t="shared" si="12"/>
        <v>1.3128012783962615</v>
      </c>
      <c r="AA39" s="407">
        <f t="shared" si="12"/>
        <v>1.3119314339820836</v>
      </c>
      <c r="AB39" s="407">
        <f t="shared" si="12"/>
        <v>1.3119385633864962</v>
      </c>
      <c r="AC39" s="407">
        <f t="shared" si="12"/>
        <v>1.3074647652440572</v>
      </c>
      <c r="AD39" s="407">
        <f t="shared" si="12"/>
        <v>1.3128297194890237</v>
      </c>
      <c r="AE39" s="407">
        <f t="shared" si="12"/>
        <v>1.3119598420693863</v>
      </c>
      <c r="AF39" s="407">
        <f t="shared" si="12"/>
        <v>0.51864487058097364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55</v>
      </c>
      <c r="B42" s="48">
        <f>B37</f>
        <v>90063.232407633899</v>
      </c>
      <c r="C42" s="48">
        <f>C37</f>
        <v>86950.559255475804</v>
      </c>
      <c r="D42" s="48">
        <f t="shared" ref="D42:AF42" si="14">D37</f>
        <v>83549.886037416305</v>
      </c>
      <c r="E42" s="48">
        <f t="shared" si="14"/>
        <v>79880.717607603277</v>
      </c>
      <c r="F42" s="48">
        <f t="shared" si="14"/>
        <v>75927.190892140949</v>
      </c>
      <c r="G42" s="48">
        <f t="shared" si="14"/>
        <v>71658.873089528934</v>
      </c>
      <c r="H42" s="48">
        <f t="shared" si="14"/>
        <v>67052.424235183877</v>
      </c>
      <c r="I42" s="48">
        <f t="shared" si="14"/>
        <v>62077.225564110347</v>
      </c>
      <c r="J42" s="48">
        <f t="shared" si="14"/>
        <v>56711.84223937495</v>
      </c>
      <c r="K42" s="48">
        <f t="shared" si="14"/>
        <v>50914.111363659511</v>
      </c>
      <c r="L42" s="48">
        <f t="shared" si="14"/>
        <v>44651.842526648223</v>
      </c>
      <c r="M42" s="48">
        <f t="shared" si="14"/>
        <v>37882.586533938214</v>
      </c>
      <c r="N42" s="48">
        <f t="shared" si="14"/>
        <v>30577.192483529376</v>
      </c>
      <c r="O42" s="48">
        <f t="shared" si="14"/>
        <v>22677.321114913961</v>
      </c>
      <c r="P42" s="48">
        <f t="shared" si="14"/>
        <v>14138.553546584813</v>
      </c>
      <c r="Q42" s="48">
        <f t="shared" si="14"/>
        <v>4902.1120599982796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222.43988598275126</v>
      </c>
      <c r="X42" s="48">
        <f t="shared" si="14"/>
        <v>1515.8667974112773</v>
      </c>
      <c r="Y42" s="48">
        <f t="shared" si="14"/>
        <v>2952.524700716001</v>
      </c>
      <c r="Z42" s="48">
        <f t="shared" si="14"/>
        <v>4542.4838868546931</v>
      </c>
      <c r="AA42" s="48">
        <f t="shared" si="14"/>
        <v>6302.6356193769352</v>
      </c>
      <c r="AB42" s="48">
        <f t="shared" si="14"/>
        <v>8247.1976507094114</v>
      </c>
      <c r="AC42" s="48">
        <f t="shared" si="14"/>
        <v>10394.078265782977</v>
      </c>
      <c r="AD42" s="48">
        <f t="shared" si="14"/>
        <v>12756.926682769394</v>
      </c>
      <c r="AE42" s="48">
        <f t="shared" si="14"/>
        <v>15359.570248713349</v>
      </c>
      <c r="AF42" s="48">
        <f t="shared" si="14"/>
        <v>18029.048099006402</v>
      </c>
    </row>
    <row r="43" spans="1:39">
      <c r="A43" s="48" t="s">
        <v>327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57</v>
      </c>
      <c r="B44" s="386">
        <f>B42*(B41-B32)/365.25*$E$64</f>
        <v>1851.1970357298057</v>
      </c>
      <c r="C44" s="386">
        <f t="shared" ref="C44:AF44" si="15">C42*(C41-C32)/(C41-B41)*$E$64</f>
        <v>1788.4419824944782</v>
      </c>
      <c r="D44" s="386">
        <f t="shared" si="15"/>
        <v>1718.4952587011039</v>
      </c>
      <c r="E44" s="386">
        <f t="shared" si="15"/>
        <v>1638.5368509264526</v>
      </c>
      <c r="F44" s="386">
        <f t="shared" si="15"/>
        <v>1561.7079058157485</v>
      </c>
      <c r="G44" s="386">
        <f t="shared" si="15"/>
        <v>1473.9150403277765</v>
      </c>
      <c r="H44" s="386">
        <f t="shared" si="15"/>
        <v>1379.1673286181999</v>
      </c>
      <c r="I44" s="386">
        <f t="shared" si="15"/>
        <v>1273.3463686408702</v>
      </c>
      <c r="J44" s="386">
        <f t="shared" si="15"/>
        <v>1166.4771386633081</v>
      </c>
      <c r="K44" s="386">
        <f t="shared" si="15"/>
        <v>1047.2265508566404</v>
      </c>
      <c r="L44" s="386">
        <f t="shared" si="15"/>
        <v>918.42111717482624</v>
      </c>
      <c r="M44" s="386">
        <f t="shared" si="15"/>
        <v>777.05879345229823</v>
      </c>
      <c r="N44" s="386">
        <f t="shared" si="15"/>
        <v>628.9267741646488</v>
      </c>
      <c r="O44" s="386">
        <f t="shared" si="15"/>
        <v>466.43832402799063</v>
      </c>
      <c r="P44" s="386">
        <f t="shared" si="15"/>
        <v>290.8087417835219</v>
      </c>
      <c r="Q44" s="386">
        <f t="shared" si="15"/>
        <v>100.55356909955488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4.5752532712753569</v>
      </c>
      <c r="X44" s="386">
        <f t="shared" si="15"/>
        <v>31.179095839904562</v>
      </c>
      <c r="Y44" s="386">
        <f t="shared" si="15"/>
        <v>60.563057897883553</v>
      </c>
      <c r="Z44" s="386">
        <f t="shared" si="15"/>
        <v>93.432048713867417</v>
      </c>
      <c r="AA44" s="386">
        <f t="shared" si="15"/>
        <v>129.63571756841739</v>
      </c>
      <c r="AB44" s="386">
        <f t="shared" si="15"/>
        <v>169.63242839096139</v>
      </c>
      <c r="AC44" s="386">
        <f t="shared" si="15"/>
        <v>213.20640049280246</v>
      </c>
      <c r="AD44" s="386">
        <f t="shared" si="15"/>
        <v>262.39075909833213</v>
      </c>
      <c r="AE44" s="386">
        <f t="shared" si="15"/>
        <v>315.92321545812456</v>
      </c>
      <c r="AF44" s="386">
        <f t="shared" si="15"/>
        <v>994.31435132328477</v>
      </c>
    </row>
    <row r="45" spans="1:39">
      <c r="A45" s="48" t="s">
        <v>58</v>
      </c>
      <c r="B45" s="48">
        <f>B42+B43</f>
        <v>90063.232407633899</v>
      </c>
      <c r="C45" s="48">
        <f t="shared" ref="C45:AF45" si="16">C42+C43</f>
        <v>86950.559255475804</v>
      </c>
      <c r="D45" s="48">
        <f t="shared" si="16"/>
        <v>83549.886037416305</v>
      </c>
      <c r="E45" s="48">
        <f t="shared" si="16"/>
        <v>79880.717607603277</v>
      </c>
      <c r="F45" s="48">
        <f t="shared" si="16"/>
        <v>75927.190892140949</v>
      </c>
      <c r="G45" s="48">
        <f t="shared" si="16"/>
        <v>71658.873089528934</v>
      </c>
      <c r="H45" s="48">
        <f t="shared" si="16"/>
        <v>67052.424235183877</v>
      </c>
      <c r="I45" s="48">
        <f t="shared" si="16"/>
        <v>62077.225564110347</v>
      </c>
      <c r="J45" s="48">
        <f t="shared" si="16"/>
        <v>56711.84223937495</v>
      </c>
      <c r="K45" s="48">
        <f t="shared" si="16"/>
        <v>50914.111363659511</v>
      </c>
      <c r="L45" s="48">
        <f t="shared" si="16"/>
        <v>44651.842526648223</v>
      </c>
      <c r="M45" s="48">
        <f t="shared" si="16"/>
        <v>37882.586533938214</v>
      </c>
      <c r="N45" s="48">
        <f t="shared" si="16"/>
        <v>30577.192483529376</v>
      </c>
      <c r="O45" s="48">
        <f t="shared" si="16"/>
        <v>22677.321114913961</v>
      </c>
      <c r="P45" s="48">
        <f t="shared" si="16"/>
        <v>14138.553546584813</v>
      </c>
      <c r="Q45" s="48">
        <f t="shared" si="16"/>
        <v>4902.1120599982796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222.43988598275126</v>
      </c>
      <c r="X45" s="48">
        <f t="shared" si="16"/>
        <v>1515.8667974112773</v>
      </c>
      <c r="Y45" s="48">
        <f t="shared" si="16"/>
        <v>2952.524700716001</v>
      </c>
      <c r="Z45" s="48">
        <f t="shared" si="16"/>
        <v>4542.4838868546931</v>
      </c>
      <c r="AA45" s="48">
        <f t="shared" si="16"/>
        <v>6302.6356193769352</v>
      </c>
      <c r="AB45" s="48">
        <f t="shared" si="16"/>
        <v>8247.1976507094114</v>
      </c>
      <c r="AC45" s="48">
        <f t="shared" si="16"/>
        <v>10394.078265782977</v>
      </c>
      <c r="AD45" s="48">
        <f t="shared" si="16"/>
        <v>12756.926682769394</v>
      </c>
      <c r="AE45" s="48">
        <f t="shared" si="16"/>
        <v>15359.570248713349</v>
      </c>
      <c r="AF45" s="48">
        <f t="shared" si="16"/>
        <v>18029.048099006402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386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136</v>
      </c>
      <c r="B48" s="161">
        <f>SUM(B35,B26)</f>
        <v>1187.1636263876135</v>
      </c>
      <c r="C48" s="161">
        <f t="shared" ref="C48:AF48" si="17">SUM(C35,C26)</f>
        <v>3112.673152158095</v>
      </c>
      <c r="D48" s="161">
        <f t="shared" si="17"/>
        <v>3400.673218059499</v>
      </c>
      <c r="E48" s="161">
        <f t="shared" si="17"/>
        <v>3669.1684298130276</v>
      </c>
      <c r="F48" s="161">
        <f t="shared" si="17"/>
        <v>3953.5267154623289</v>
      </c>
      <c r="G48" s="161">
        <f t="shared" si="17"/>
        <v>4268.3178026120149</v>
      </c>
      <c r="H48" s="161">
        <f t="shared" si="17"/>
        <v>4606.448854345057</v>
      </c>
      <c r="I48" s="161">
        <f t="shared" si="17"/>
        <v>4975.1986710735291</v>
      </c>
      <c r="J48" s="161">
        <f t="shared" si="17"/>
        <v>5365.3833247353978</v>
      </c>
      <c r="K48" s="161">
        <f t="shared" si="17"/>
        <v>5797.7308757154387</v>
      </c>
      <c r="L48" s="161">
        <f t="shared" si="17"/>
        <v>6262.2688370112883</v>
      </c>
      <c r="M48" s="161">
        <f t="shared" si="17"/>
        <v>6769.2559927100083</v>
      </c>
      <c r="N48" s="161">
        <f t="shared" si="17"/>
        <v>7305.3940504088387</v>
      </c>
      <c r="O48" s="161">
        <f t="shared" si="17"/>
        <v>7899.8713686154151</v>
      </c>
      <c r="P48" s="161">
        <f t="shared" si="17"/>
        <v>8538.7675683291473</v>
      </c>
      <c r="Q48" s="161">
        <f t="shared" si="17"/>
        <v>9236.4414865865328</v>
      </c>
      <c r="R48" s="161">
        <f t="shared" si="17"/>
        <v>4902.1120599982796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-222.43988598275126</v>
      </c>
      <c r="X48" s="161">
        <f t="shared" si="17"/>
        <v>-1293.426911428526</v>
      </c>
      <c r="Y48" s="161">
        <f t="shared" si="17"/>
        <v>-1436.6579033047237</v>
      </c>
      <c r="Z48" s="161">
        <f t="shared" si="17"/>
        <v>-1589.9591861386921</v>
      </c>
      <c r="AA48" s="161">
        <f t="shared" si="17"/>
        <v>-1760.1517325222421</v>
      </c>
      <c r="AB48" s="161">
        <f t="shared" si="17"/>
        <v>-1944.5620313324762</v>
      </c>
      <c r="AC48" s="161">
        <f t="shared" si="17"/>
        <v>-2146.8806150735654</v>
      </c>
      <c r="AD48" s="161">
        <f t="shared" si="17"/>
        <v>-2362.8484169864169</v>
      </c>
      <c r="AE48" s="161">
        <f t="shared" si="17"/>
        <v>-2602.6435659439558</v>
      </c>
      <c r="AF48" s="161">
        <f t="shared" si="17"/>
        <v>-2669.4778502930531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135</v>
      </c>
      <c r="B49" s="386">
        <f>B36</f>
        <v>3153.4787787527357</v>
      </c>
      <c r="C49" s="386">
        <f t="shared" ref="C49:AF49" si="18">C27+C36+B44</f>
        <v>7365.4401804449444</v>
      </c>
      <c r="D49" s="386">
        <f t="shared" si="18"/>
        <v>7104.1169492237168</v>
      </c>
      <c r="E49" s="386">
        <f t="shared" si="18"/>
        <v>6823.5085141816562</v>
      </c>
      <c r="F49" s="386">
        <f t="shared" si="18"/>
        <v>6505.1051234250981</v>
      </c>
      <c r="G49" s="386">
        <f t="shared" si="18"/>
        <v>6177.1589407915981</v>
      </c>
      <c r="H49" s="386">
        <f t="shared" si="18"/>
        <v>5818.1909072622038</v>
      </c>
      <c r="I49" s="386">
        <f t="shared" si="18"/>
        <v>5435.1295266234338</v>
      </c>
      <c r="J49" s="386">
        <f t="shared" si="18"/>
        <v>5008.8116900202613</v>
      </c>
      <c r="K49" s="386">
        <f t="shared" si="18"/>
        <v>4560.9910265087728</v>
      </c>
      <c r="L49" s="386">
        <f t="shared" si="18"/>
        <v>4073.2921054168737</v>
      </c>
      <c r="M49" s="386">
        <f t="shared" si="18"/>
        <v>3549.5425472524194</v>
      </c>
      <c r="N49" s="386">
        <f t="shared" si="18"/>
        <v>2974.9426528301301</v>
      </c>
      <c r="O49" s="386">
        <f t="shared" si="18"/>
        <v>2362.4076006491614</v>
      </c>
      <c r="P49" s="386">
        <f t="shared" si="18"/>
        <v>1697.7587915284837</v>
      </c>
      <c r="Q49" s="386">
        <f t="shared" si="18"/>
        <v>980.58937360019274</v>
      </c>
      <c r="R49" s="386">
        <f t="shared" si="18"/>
        <v>201.38262742951949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4.5071768172951687</v>
      </c>
      <c r="X49" s="386">
        <f t="shared" si="18"/>
        <v>44.558268513390111</v>
      </c>
      <c r="Y49" s="386">
        <f t="shared" si="18"/>
        <v>154.17819959676592</v>
      </c>
      <c r="Z49" s="386">
        <f t="shared" si="18"/>
        <v>275.61694409818097</v>
      </c>
      <c r="AA49" s="386">
        <f t="shared" si="18"/>
        <v>410.39910117724042</v>
      </c>
      <c r="AB49" s="386">
        <f t="shared" si="18"/>
        <v>559.34016209821493</v>
      </c>
      <c r="AC49" s="386">
        <f t="shared" si="18"/>
        <v>724.25125399749641</v>
      </c>
      <c r="AD49" s="386">
        <f t="shared" si="18"/>
        <v>904.74498569051082</v>
      </c>
      <c r="AE49" s="386">
        <f t="shared" si="18"/>
        <v>1105.1239584733191</v>
      </c>
      <c r="AF49" s="386">
        <f t="shared" si="18"/>
        <v>746.80004752722436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4340.6424051403492</v>
      </c>
      <c r="C50" s="49">
        <f t="shared" si="19"/>
        <v>10478.113332603039</v>
      </c>
      <c r="D50" s="49">
        <f t="shared" si="19"/>
        <v>10504.790167283216</v>
      </c>
      <c r="E50" s="49">
        <f t="shared" si="19"/>
        <v>10492.676943994684</v>
      </c>
      <c r="F50" s="49">
        <f t="shared" si="19"/>
        <v>10458.631838887428</v>
      </c>
      <c r="G50" s="49">
        <f t="shared" si="19"/>
        <v>10445.476743403613</v>
      </c>
      <c r="H50" s="49">
        <f t="shared" si="19"/>
        <v>10424.639761607261</v>
      </c>
      <c r="I50" s="49">
        <f t="shared" si="19"/>
        <v>10410.328197696963</v>
      </c>
      <c r="J50" s="49">
        <f t="shared" si="19"/>
        <v>10374.19501475566</v>
      </c>
      <c r="K50" s="49">
        <f t="shared" si="19"/>
        <v>10358.721902224212</v>
      </c>
      <c r="L50" s="49">
        <f t="shared" si="19"/>
        <v>10335.560942428161</v>
      </c>
      <c r="M50" s="49">
        <f t="shared" si="19"/>
        <v>10318.798539962427</v>
      </c>
      <c r="N50" s="49">
        <f t="shared" si="19"/>
        <v>10280.336703238969</v>
      </c>
      <c r="O50" s="49">
        <f t="shared" si="19"/>
        <v>10262.278969264577</v>
      </c>
      <c r="P50" s="49">
        <f t="shared" si="19"/>
        <v>10236.526359857631</v>
      </c>
      <c r="Q50" s="49">
        <f t="shared" si="19"/>
        <v>10217.030860186725</v>
      </c>
      <c r="R50" s="49">
        <f t="shared" si="19"/>
        <v>5103.4946874277994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-217.93270916545609</v>
      </c>
      <c r="X50" s="49">
        <f t="shared" si="19"/>
        <v>-1248.8686429151358</v>
      </c>
      <c r="Y50" s="49">
        <f t="shared" si="19"/>
        <v>-1282.4797037079579</v>
      </c>
      <c r="Z50" s="49">
        <f t="shared" si="19"/>
        <v>-1314.3422420405111</v>
      </c>
      <c r="AA50" s="49">
        <f t="shared" si="19"/>
        <v>-1349.7526313450016</v>
      </c>
      <c r="AB50" s="49">
        <f t="shared" si="19"/>
        <v>-1385.2218692342612</v>
      </c>
      <c r="AC50" s="49">
        <f t="shared" si="19"/>
        <v>-1422.629361076069</v>
      </c>
      <c r="AD50" s="49">
        <f t="shared" si="19"/>
        <v>-1458.1034312959059</v>
      </c>
      <c r="AE50" s="49">
        <f t="shared" si="19"/>
        <v>-1497.5196074706366</v>
      </c>
      <c r="AF50" s="49">
        <f t="shared" si="19"/>
        <v>-1922.6778027658288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401</v>
      </c>
      <c r="B52" s="404">
        <f>IF(B33&gt;0.1,(B38+B29)/B50," ")</f>
        <v>1.3000000000000007</v>
      </c>
      <c r="C52" s="404">
        <f t="shared" ref="C52:AF52" si="20">IF(C33&gt;0.1,(C38+C29)/C50," ")</f>
        <v>1.2999999999999998</v>
      </c>
      <c r="D52" s="404">
        <f t="shared" si="20"/>
        <v>1.2999999999999987</v>
      </c>
      <c r="E52" s="404">
        <f t="shared" si="20"/>
        <v>1.2999999999999992</v>
      </c>
      <c r="F52" s="404">
        <f t="shared" si="20"/>
        <v>1.3000000000000016</v>
      </c>
      <c r="G52" s="404">
        <f t="shared" si="20"/>
        <v>1.2999999999999996</v>
      </c>
      <c r="H52" s="404">
        <f t="shared" si="20"/>
        <v>1.2999999999999972</v>
      </c>
      <c r="I52" s="404">
        <f t="shared" si="20"/>
        <v>1.2999999999999992</v>
      </c>
      <c r="J52" s="404">
        <f t="shared" si="20"/>
        <v>1.2999999999999998</v>
      </c>
      <c r="K52" s="404">
        <f t="shared" si="20"/>
        <v>1.2999999999999994</v>
      </c>
      <c r="L52" s="404">
        <f t="shared" si="20"/>
        <v>1.3000000000000005</v>
      </c>
      <c r="M52" s="404">
        <f t="shared" si="20"/>
        <v>1.3000000000000012</v>
      </c>
      <c r="N52" s="404">
        <f t="shared" si="20"/>
        <v>1.2999999999999994</v>
      </c>
      <c r="O52" s="404">
        <f t="shared" si="20"/>
        <v>1.2999999999999998</v>
      </c>
      <c r="P52" s="466">
        <f t="shared" si="20"/>
        <v>1.2999999999999998</v>
      </c>
      <c r="Q52" s="404">
        <f t="shared" si="20"/>
        <v>1.3000000000000003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>
        <f t="shared" si="20"/>
        <v>1.3</v>
      </c>
      <c r="X52" s="404">
        <f t="shared" si="20"/>
        <v>1.3000000000000003</v>
      </c>
      <c r="Y52" s="404">
        <f t="shared" si="20"/>
        <v>1.2999999999999998</v>
      </c>
      <c r="Z52" s="404">
        <f t="shared" si="20"/>
        <v>1.2999999999999996</v>
      </c>
      <c r="AA52" s="404">
        <f t="shared" si="20"/>
        <v>1.2999999999999998</v>
      </c>
      <c r="AB52" s="404">
        <f t="shared" si="20"/>
        <v>1.3000000000000014</v>
      </c>
      <c r="AC52" s="404">
        <f t="shared" si="20"/>
        <v>1.3000000000000014</v>
      </c>
      <c r="AD52" s="404">
        <f t="shared" si="20"/>
        <v>1.2999999999999989</v>
      </c>
      <c r="AE52" s="404">
        <f t="shared" si="20"/>
        <v>1.2999999999999987</v>
      </c>
      <c r="AF52" s="466">
        <f t="shared" si="20"/>
        <v>1.3000000000000027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385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136</v>
      </c>
      <c r="B56" s="161">
        <f t="shared" ref="B56:AF56" si="21">B35+B26</f>
        <v>1187.1636263876135</v>
      </c>
      <c r="C56" s="161">
        <f t="shared" si="21"/>
        <v>3112.673152158095</v>
      </c>
      <c r="D56" s="161">
        <f t="shared" si="21"/>
        <v>3400.673218059499</v>
      </c>
      <c r="E56" s="161">
        <f t="shared" si="21"/>
        <v>3669.1684298130276</v>
      </c>
      <c r="F56" s="161">
        <f t="shared" si="21"/>
        <v>3953.5267154623289</v>
      </c>
      <c r="G56" s="161">
        <f t="shared" si="21"/>
        <v>4268.3178026120149</v>
      </c>
      <c r="H56" s="161">
        <f t="shared" si="21"/>
        <v>4606.448854345057</v>
      </c>
      <c r="I56" s="161">
        <f t="shared" si="21"/>
        <v>4975.1986710735291</v>
      </c>
      <c r="J56" s="161">
        <f t="shared" si="21"/>
        <v>5365.3833247353978</v>
      </c>
      <c r="K56" s="161">
        <f t="shared" si="21"/>
        <v>5797.7308757154387</v>
      </c>
      <c r="L56" s="161">
        <f t="shared" si="21"/>
        <v>6262.2688370112883</v>
      </c>
      <c r="M56" s="161">
        <f t="shared" si="21"/>
        <v>6769.2559927100083</v>
      </c>
      <c r="N56" s="161">
        <f t="shared" si="21"/>
        <v>7305.3940504088387</v>
      </c>
      <c r="O56" s="161">
        <f t="shared" si="21"/>
        <v>7899.8713686154151</v>
      </c>
      <c r="P56" s="161">
        <f t="shared" si="21"/>
        <v>8538.7675683291473</v>
      </c>
      <c r="Q56" s="161">
        <f t="shared" si="21"/>
        <v>9236.4414865865328</v>
      </c>
      <c r="R56" s="161">
        <f t="shared" si="21"/>
        <v>4902.1120599982796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-222.43988598275126</v>
      </c>
      <c r="X56" s="161">
        <f t="shared" si="21"/>
        <v>-1293.426911428526</v>
      </c>
      <c r="Y56" s="161">
        <f t="shared" si="21"/>
        <v>-1436.6579033047237</v>
      </c>
      <c r="Z56" s="161">
        <f t="shared" si="21"/>
        <v>-1589.9591861386921</v>
      </c>
      <c r="AA56" s="161">
        <f t="shared" si="21"/>
        <v>-1760.1517325222421</v>
      </c>
      <c r="AB56" s="161">
        <f t="shared" si="21"/>
        <v>-1944.5620313324762</v>
      </c>
      <c r="AC56" s="161">
        <f t="shared" si="21"/>
        <v>-2146.8806150735654</v>
      </c>
      <c r="AD56" s="161">
        <f t="shared" si="21"/>
        <v>-2362.8484169864169</v>
      </c>
      <c r="AE56" s="161">
        <f t="shared" si="21"/>
        <v>-2602.6435659439558</v>
      </c>
      <c r="AF56" s="161">
        <f t="shared" si="21"/>
        <v>-2669.4778502930531</v>
      </c>
    </row>
    <row r="57" spans="1:39">
      <c r="A57" s="397" t="s">
        <v>135</v>
      </c>
      <c r="B57" s="386">
        <f t="shared" ref="B57:AF57" si="22">B36+B44+B27</f>
        <v>5004.6758144825417</v>
      </c>
      <c r="C57" s="386">
        <f t="shared" si="22"/>
        <v>7302.6851272096173</v>
      </c>
      <c r="D57" s="386">
        <f t="shared" si="22"/>
        <v>7034.1702254303418</v>
      </c>
      <c r="E57" s="386">
        <f t="shared" si="22"/>
        <v>6743.5501064070049</v>
      </c>
      <c r="F57" s="386">
        <f t="shared" si="22"/>
        <v>6428.2761783143942</v>
      </c>
      <c r="G57" s="386">
        <f t="shared" si="22"/>
        <v>6089.3660753036256</v>
      </c>
      <c r="H57" s="386">
        <f t="shared" si="22"/>
        <v>5723.443195552627</v>
      </c>
      <c r="I57" s="386">
        <f t="shared" si="22"/>
        <v>5329.3085666461047</v>
      </c>
      <c r="J57" s="386">
        <f t="shared" si="22"/>
        <v>4901.9424600426992</v>
      </c>
      <c r="K57" s="386">
        <f t="shared" si="22"/>
        <v>4441.7404387021052</v>
      </c>
      <c r="L57" s="386">
        <f t="shared" si="22"/>
        <v>3944.4866717350587</v>
      </c>
      <c r="M57" s="386">
        <f t="shared" si="22"/>
        <v>3408.1802235298915</v>
      </c>
      <c r="N57" s="386">
        <f t="shared" si="22"/>
        <v>2826.8106335424804</v>
      </c>
      <c r="O57" s="386">
        <f t="shared" si="22"/>
        <v>2199.9191505125036</v>
      </c>
      <c r="P57" s="386">
        <f t="shared" si="22"/>
        <v>1522.1292092840151</v>
      </c>
      <c r="Q57" s="386">
        <f t="shared" si="22"/>
        <v>790.33420091622565</v>
      </c>
      <c r="R57" s="386">
        <f t="shared" si="22"/>
        <v>100.82905832996461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9.0824300885705256</v>
      </c>
      <c r="X57" s="386">
        <f t="shared" si="22"/>
        <v>71.162111082019322</v>
      </c>
      <c r="Y57" s="386">
        <f t="shared" si="22"/>
        <v>183.56216165474493</v>
      </c>
      <c r="Z57" s="386">
        <f t="shared" si="22"/>
        <v>308.48593491416489</v>
      </c>
      <c r="AA57" s="386">
        <f t="shared" si="22"/>
        <v>446.60277003179039</v>
      </c>
      <c r="AB57" s="386">
        <f t="shared" si="22"/>
        <v>599.33687292075899</v>
      </c>
      <c r="AC57" s="386">
        <f t="shared" si="22"/>
        <v>767.82522609933744</v>
      </c>
      <c r="AD57" s="386">
        <f t="shared" si="22"/>
        <v>953.92934429604054</v>
      </c>
      <c r="AE57" s="386">
        <f t="shared" si="22"/>
        <v>1158.6564148331115</v>
      </c>
      <c r="AF57" s="386">
        <f t="shared" si="22"/>
        <v>1425.1911833923846</v>
      </c>
    </row>
    <row r="58" spans="1:39">
      <c r="A58" s="49" t="s">
        <v>59</v>
      </c>
      <c r="B58" s="49">
        <f>SUM(B56:B57)</f>
        <v>6191.8394408701552</v>
      </c>
      <c r="C58" s="49">
        <f t="shared" ref="C58:AF58" si="23">SUM(C56:C57)</f>
        <v>10415.358279367712</v>
      </c>
      <c r="D58" s="49">
        <f t="shared" si="23"/>
        <v>10434.843443489841</v>
      </c>
      <c r="E58" s="49">
        <f t="shared" si="23"/>
        <v>10412.718536220033</v>
      </c>
      <c r="F58" s="49">
        <f t="shared" si="23"/>
        <v>10381.802893776723</v>
      </c>
      <c r="G58" s="49">
        <f t="shared" si="23"/>
        <v>10357.683877915641</v>
      </c>
      <c r="H58" s="49">
        <f t="shared" si="23"/>
        <v>10329.892049897684</v>
      </c>
      <c r="I58" s="49">
        <f t="shared" si="23"/>
        <v>10304.507237719634</v>
      </c>
      <c r="J58" s="49">
        <f t="shared" si="23"/>
        <v>10267.325784778097</v>
      </c>
      <c r="K58" s="49">
        <f t="shared" si="23"/>
        <v>10239.471314417544</v>
      </c>
      <c r="L58" s="49">
        <f t="shared" si="23"/>
        <v>10206.755508746348</v>
      </c>
      <c r="M58" s="49">
        <f t="shared" si="23"/>
        <v>10177.436216239899</v>
      </c>
      <c r="N58" s="49">
        <f t="shared" si="23"/>
        <v>10132.204683951319</v>
      </c>
      <c r="O58" s="49">
        <f t="shared" si="23"/>
        <v>10099.790519127919</v>
      </c>
      <c r="P58" s="49">
        <f t="shared" si="23"/>
        <v>10060.896777613163</v>
      </c>
      <c r="Q58" s="49">
        <f t="shared" si="23"/>
        <v>10026.775687502759</v>
      </c>
      <c r="R58" s="49">
        <f t="shared" si="23"/>
        <v>5002.9411183282446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-213.35745589418073</v>
      </c>
      <c r="X58" s="49">
        <f t="shared" si="23"/>
        <v>-1222.2648003465067</v>
      </c>
      <c r="Y58" s="49">
        <f t="shared" si="23"/>
        <v>-1253.0957416499789</v>
      </c>
      <c r="Z58" s="49">
        <f t="shared" si="23"/>
        <v>-1281.4732512245273</v>
      </c>
      <c r="AA58" s="49">
        <f t="shared" si="23"/>
        <v>-1313.5489624904517</v>
      </c>
      <c r="AB58" s="49">
        <f t="shared" si="23"/>
        <v>-1345.2251584117171</v>
      </c>
      <c r="AC58" s="49">
        <f t="shared" si="23"/>
        <v>-1379.055388974228</v>
      </c>
      <c r="AD58" s="49">
        <f t="shared" si="23"/>
        <v>-1408.9190726903762</v>
      </c>
      <c r="AE58" s="49">
        <f t="shared" si="23"/>
        <v>-1443.9871511108443</v>
      </c>
      <c r="AF58" s="49">
        <f t="shared" si="23"/>
        <v>-1244.2866669006685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554" t="s">
        <v>328</v>
      </c>
      <c r="C61" s="555"/>
      <c r="D61" s="555"/>
      <c r="E61" s="556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7" t="s">
        <v>389</v>
      </c>
      <c r="C62" s="57"/>
      <c r="D62" s="57"/>
      <c r="E62" s="458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1">
        <f>Assumptions!G38</f>
        <v>1.7500000000000002E-2</v>
      </c>
      <c r="AA63" s="12"/>
      <c r="AB63" s="12"/>
    </row>
    <row r="64" spans="1:39">
      <c r="A64" s="48"/>
      <c r="B64" s="333" t="s">
        <v>390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388</v>
      </c>
      <c r="C65" s="57"/>
      <c r="D65" s="57"/>
      <c r="E65" s="401">
        <f>Assumptions!G33</f>
        <v>20</v>
      </c>
      <c r="AA65" s="12"/>
      <c r="AB65" s="12"/>
    </row>
    <row r="66" spans="1:43">
      <c r="B66" s="444" t="s">
        <v>387</v>
      </c>
      <c r="C66" s="13"/>
      <c r="D66" s="13"/>
      <c r="E66" s="459">
        <f>B77</f>
        <v>4.621157362916688</v>
      </c>
      <c r="AA66" s="12"/>
      <c r="AB66" s="12"/>
    </row>
    <row r="67" spans="1:43">
      <c r="B67" s="333" t="s">
        <v>54</v>
      </c>
      <c r="C67" s="58"/>
      <c r="D67" s="58"/>
      <c r="E67" s="445">
        <f>B19</f>
        <v>91250.396034021513</v>
      </c>
      <c r="AA67" s="12"/>
      <c r="AB67" s="12"/>
    </row>
    <row r="68" spans="1:43">
      <c r="B68" s="330" t="s">
        <v>0</v>
      </c>
      <c r="C68" s="57"/>
      <c r="D68" s="57" t="s">
        <v>383</v>
      </c>
      <c r="E68" s="462">
        <f>AVERAGE(B52:AF52)</f>
        <v>1.3000000000000003</v>
      </c>
      <c r="AA68" s="12"/>
      <c r="AB68" s="12"/>
    </row>
    <row r="69" spans="1:43">
      <c r="B69" s="460"/>
      <c r="C69" s="58"/>
      <c r="D69" s="58" t="s">
        <v>384</v>
      </c>
      <c r="E69" s="463">
        <f>MIN(B52:AF52)</f>
        <v>1.2999999999999972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64">
        <f>(SUMPRODUCT(B74:AF74,B35:AF35)+SUMPRODUCT(B75:AF75,B26:AF26))/E67</f>
        <v>4.621157362916688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7" zoomScale="75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1" t="s">
        <v>39</v>
      </c>
      <c r="B7" s="141"/>
      <c r="C7" s="141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6"/>
      <c r="B8" s="142"/>
      <c r="C8" s="142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251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252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318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251</v>
      </c>
      <c r="B16" s="374">
        <f>Assumptions!C35+Assumptions!C49+Assumptions!C41</f>
        <v>104383.80768585253</v>
      </c>
      <c r="C16" s="303"/>
      <c r="D16" s="18">
        <f>$B$16*D12</f>
        <v>5219.1903842926267</v>
      </c>
      <c r="E16" s="18">
        <f t="shared" ref="E16:Y16" si="0">$B$16*E12</f>
        <v>9916.4617301559902</v>
      </c>
      <c r="F16" s="18">
        <f t="shared" si="0"/>
        <v>8924.8155571403913</v>
      </c>
      <c r="G16" s="18">
        <f t="shared" si="0"/>
        <v>8037.5531918106444</v>
      </c>
      <c r="H16" s="18">
        <f t="shared" si="0"/>
        <v>7233.7978726295805</v>
      </c>
      <c r="I16" s="18">
        <f t="shared" si="0"/>
        <v>6503.1112188286124</v>
      </c>
      <c r="J16" s="18">
        <f t="shared" si="0"/>
        <v>6158.6446534652987</v>
      </c>
      <c r="K16" s="18">
        <f t="shared" si="0"/>
        <v>6169.083034233885</v>
      </c>
      <c r="L16" s="18">
        <f t="shared" si="0"/>
        <v>6158.6446534652987</v>
      </c>
      <c r="M16" s="18">
        <f t="shared" si="0"/>
        <v>6169.083034233885</v>
      </c>
      <c r="N16" s="18">
        <f t="shared" si="0"/>
        <v>6158.6446534652987</v>
      </c>
      <c r="O16" s="18">
        <f t="shared" si="0"/>
        <v>6169.083034233885</v>
      </c>
      <c r="P16" s="18">
        <f t="shared" si="0"/>
        <v>6158.6446534652987</v>
      </c>
      <c r="Q16" s="18">
        <f t="shared" si="0"/>
        <v>6169.083034233885</v>
      </c>
      <c r="R16" s="18">
        <f t="shared" si="0"/>
        <v>6158.6446534652987</v>
      </c>
      <c r="S16" s="18">
        <f t="shared" si="0"/>
        <v>3079.3223267326493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252</v>
      </c>
      <c r="B17" s="302">
        <f>Assumptions!C53-Assumptions!C49-Assumptions!C50</f>
        <v>4398.3000000000011</v>
      </c>
      <c r="C17" s="303"/>
      <c r="D17" s="300">
        <f>$B$17*D13</f>
        <v>586.44000000000017</v>
      </c>
      <c r="E17" s="300">
        <f t="shared" ref="E17:AH17" si="2">$B$17*E13</f>
        <v>879.66000000000031</v>
      </c>
      <c r="F17" s="300">
        <f t="shared" si="2"/>
        <v>879.66000000000031</v>
      </c>
      <c r="G17" s="300">
        <f t="shared" si="2"/>
        <v>879.66000000000031</v>
      </c>
      <c r="H17" s="300">
        <f t="shared" si="2"/>
        <v>879.66000000000031</v>
      </c>
      <c r="I17" s="300">
        <f t="shared" si="2"/>
        <v>293.22000000000014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318</v>
      </c>
      <c r="B18" s="375">
        <f>Assumptions!$C$59</f>
        <v>1000</v>
      </c>
      <c r="C18" s="303"/>
      <c r="D18" s="376">
        <f>$B$18*D14</f>
        <v>33.333333333333336</v>
      </c>
      <c r="E18" s="376">
        <f t="shared" ref="E18:Y18" si="3">$B$18*E14</f>
        <v>50</v>
      </c>
      <c r="F18" s="376">
        <f t="shared" si="3"/>
        <v>50</v>
      </c>
      <c r="G18" s="376">
        <f t="shared" si="3"/>
        <v>50</v>
      </c>
      <c r="H18" s="376">
        <f t="shared" si="3"/>
        <v>50</v>
      </c>
      <c r="I18" s="376">
        <f t="shared" si="3"/>
        <v>50</v>
      </c>
      <c r="J18" s="376">
        <f t="shared" si="3"/>
        <v>50</v>
      </c>
      <c r="K18" s="376">
        <f t="shared" si="3"/>
        <v>50</v>
      </c>
      <c r="L18" s="376">
        <f t="shared" si="3"/>
        <v>50</v>
      </c>
      <c r="M18" s="376">
        <f t="shared" si="3"/>
        <v>50</v>
      </c>
      <c r="N18" s="376">
        <f t="shared" si="3"/>
        <v>50</v>
      </c>
      <c r="O18" s="376">
        <f t="shared" si="3"/>
        <v>50</v>
      </c>
      <c r="P18" s="376">
        <f t="shared" si="3"/>
        <v>50</v>
      </c>
      <c r="Q18" s="376">
        <f t="shared" si="3"/>
        <v>50</v>
      </c>
      <c r="R18" s="376">
        <f t="shared" si="3"/>
        <v>50</v>
      </c>
      <c r="S18" s="376">
        <f t="shared" si="3"/>
        <v>50</v>
      </c>
      <c r="T18" s="376">
        <f t="shared" si="3"/>
        <v>50</v>
      </c>
      <c r="U18" s="376">
        <f t="shared" si="3"/>
        <v>50</v>
      </c>
      <c r="V18" s="376">
        <f t="shared" si="3"/>
        <v>50</v>
      </c>
      <c r="W18" s="376">
        <f t="shared" si="3"/>
        <v>50</v>
      </c>
      <c r="X18" s="376">
        <f t="shared" si="3"/>
        <v>16.666666666666671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62</v>
      </c>
      <c r="B19" s="18">
        <f>SUM(B16:B18)</f>
        <v>109782.10768585253</v>
      </c>
      <c r="C19" s="303"/>
      <c r="D19" s="18">
        <f t="shared" ref="D19:Y19" si="5">SUM(D16:D18)</f>
        <v>5838.9637176259603</v>
      </c>
      <c r="E19" s="18">
        <f t="shared" si="5"/>
        <v>10846.12173015599</v>
      </c>
      <c r="F19" s="18">
        <f t="shared" si="5"/>
        <v>9854.4755571403912</v>
      </c>
      <c r="G19" s="18">
        <f t="shared" si="5"/>
        <v>8967.2131918106443</v>
      </c>
      <c r="H19" s="18">
        <f t="shared" si="5"/>
        <v>8163.4578726295804</v>
      </c>
      <c r="I19" s="18">
        <f t="shared" si="5"/>
        <v>6846.3312188286127</v>
      </c>
      <c r="J19" s="18">
        <f t="shared" si="5"/>
        <v>6208.6446534652987</v>
      </c>
      <c r="K19" s="18">
        <f t="shared" si="5"/>
        <v>6219.083034233885</v>
      </c>
      <c r="L19" s="18">
        <f t="shared" si="5"/>
        <v>6208.6446534652987</v>
      </c>
      <c r="M19" s="18">
        <f t="shared" si="5"/>
        <v>6219.083034233885</v>
      </c>
      <c r="N19" s="18">
        <f t="shared" si="5"/>
        <v>6208.6446534652987</v>
      </c>
      <c r="O19" s="18">
        <f t="shared" si="5"/>
        <v>6219.083034233885</v>
      </c>
      <c r="P19" s="18">
        <f t="shared" si="5"/>
        <v>6208.6446534652987</v>
      </c>
      <c r="Q19" s="18">
        <f t="shared" si="5"/>
        <v>6219.083034233885</v>
      </c>
      <c r="R19" s="18">
        <f t="shared" si="5"/>
        <v>6208.6446534652987</v>
      </c>
      <c r="S19" s="18">
        <f t="shared" si="5"/>
        <v>3129.3223267326493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109782.10768585253</v>
      </c>
      <c r="C21" s="377"/>
      <c r="D21" s="304">
        <f>B19-D19</f>
        <v>103943.14396822658</v>
      </c>
      <c r="E21" s="304">
        <f>D21-E19</f>
        <v>93097.022238070582</v>
      </c>
      <c r="F21" s="304">
        <f t="shared" ref="F21:X21" si="7">E21-F19</f>
        <v>83242.546680930187</v>
      </c>
      <c r="G21" s="304">
        <f t="shared" si="7"/>
        <v>74275.333489119541</v>
      </c>
      <c r="H21" s="304">
        <f t="shared" si="7"/>
        <v>66111.875616489968</v>
      </c>
      <c r="I21" s="304">
        <f t="shared" si="7"/>
        <v>59265.544397661353</v>
      </c>
      <c r="J21" s="304">
        <f t="shared" si="7"/>
        <v>53056.899744196053</v>
      </c>
      <c r="K21" s="304">
        <f t="shared" si="7"/>
        <v>46837.816709962164</v>
      </c>
      <c r="L21" s="304">
        <f t="shared" si="7"/>
        <v>40629.172056496864</v>
      </c>
      <c r="M21" s="304">
        <f t="shared" si="7"/>
        <v>34410.089022262982</v>
      </c>
      <c r="N21" s="304">
        <f t="shared" si="7"/>
        <v>28201.444368797682</v>
      </c>
      <c r="O21" s="304">
        <f t="shared" si="7"/>
        <v>21982.361334563797</v>
      </c>
      <c r="P21" s="304">
        <f t="shared" si="7"/>
        <v>15773.716681098498</v>
      </c>
      <c r="Q21" s="304">
        <f t="shared" si="7"/>
        <v>9554.6336468646132</v>
      </c>
      <c r="R21" s="304">
        <f t="shared" si="7"/>
        <v>3345.9889933993145</v>
      </c>
      <c r="S21" s="304">
        <f t="shared" si="7"/>
        <v>216.66666666666515</v>
      </c>
      <c r="T21" s="304">
        <f t="shared" si="7"/>
        <v>166.66666666666515</v>
      </c>
      <c r="U21" s="304">
        <f t="shared" si="7"/>
        <v>116.66666666666515</v>
      </c>
      <c r="V21" s="304">
        <f t="shared" si="7"/>
        <v>66.666666666665151</v>
      </c>
      <c r="W21" s="304">
        <f t="shared" si="7"/>
        <v>16.666666666665151</v>
      </c>
      <c r="X21" s="304">
        <f t="shared" si="7"/>
        <v>-1.5205614545266144E-12</v>
      </c>
      <c r="Y21" s="304">
        <f>X21-Y19</f>
        <v>-1.5205614545266144E-12</v>
      </c>
      <c r="Z21" s="304">
        <f t="shared" ref="Z21:AH21" si="8">Y21-Z19</f>
        <v>-1.5205614545266144E-12</v>
      </c>
      <c r="AA21" s="304">
        <f t="shared" si="8"/>
        <v>-1.5205614545266144E-12</v>
      </c>
      <c r="AB21" s="304">
        <f t="shared" si="8"/>
        <v>-1.5205614545266144E-12</v>
      </c>
      <c r="AC21" s="304">
        <f t="shared" si="8"/>
        <v>-1.5205614545266144E-12</v>
      </c>
      <c r="AD21" s="304">
        <f t="shared" si="8"/>
        <v>-1.5205614545266144E-12</v>
      </c>
      <c r="AE21" s="304">
        <f t="shared" si="8"/>
        <v>-1.5205614545266144E-12</v>
      </c>
      <c r="AF21" s="304">
        <f t="shared" si="8"/>
        <v>-1.5205614545266144E-12</v>
      </c>
      <c r="AG21" s="304">
        <f t="shared" si="8"/>
        <v>-1.5205614545266144E-12</v>
      </c>
      <c r="AH21" s="304">
        <f t="shared" si="8"/>
        <v>-1.5205614545266144E-12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252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251</v>
      </c>
      <c r="B31" s="374">
        <f>B16</f>
        <v>104383.80768585253</v>
      </c>
      <c r="C31" s="303"/>
      <c r="D31" s="18">
        <f>$B$31*D26</f>
        <v>5219.1903842926267</v>
      </c>
      <c r="E31" s="18">
        <f t="shared" ref="E31:Y31" si="14">$B$31*E26</f>
        <v>9916.4617301559902</v>
      </c>
      <c r="F31" s="18">
        <f t="shared" si="14"/>
        <v>8924.8155571403913</v>
      </c>
      <c r="G31" s="18">
        <f t="shared" si="14"/>
        <v>8037.5531918106444</v>
      </c>
      <c r="H31" s="18">
        <f t="shared" si="14"/>
        <v>7233.7978726295805</v>
      </c>
      <c r="I31" s="18">
        <f t="shared" si="14"/>
        <v>6503.1112188286124</v>
      </c>
      <c r="J31" s="18">
        <f t="shared" si="14"/>
        <v>6158.6446534652987</v>
      </c>
      <c r="K31" s="18">
        <f t="shared" si="14"/>
        <v>6169.083034233885</v>
      </c>
      <c r="L31" s="18">
        <f t="shared" si="14"/>
        <v>6158.6446534652987</v>
      </c>
      <c r="M31" s="18">
        <f t="shared" si="14"/>
        <v>6169.083034233885</v>
      </c>
      <c r="N31" s="18">
        <f t="shared" si="14"/>
        <v>6158.6446534652987</v>
      </c>
      <c r="O31" s="18">
        <f t="shared" si="14"/>
        <v>6169.083034233885</v>
      </c>
      <c r="P31" s="18">
        <f t="shared" si="14"/>
        <v>6158.6446534652987</v>
      </c>
      <c r="Q31" s="18">
        <f t="shared" si="14"/>
        <v>6169.083034233885</v>
      </c>
      <c r="R31" s="18">
        <f t="shared" si="14"/>
        <v>6158.6446534652987</v>
      </c>
      <c r="S31" s="18">
        <f t="shared" si="14"/>
        <v>3079.3223267326493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252</v>
      </c>
      <c r="B32" s="302">
        <f>B17</f>
        <v>4398.3000000000011</v>
      </c>
      <c r="C32" s="303"/>
      <c r="D32" s="300">
        <f>D27*$B$32</f>
        <v>586.44000000000017</v>
      </c>
      <c r="E32" s="300">
        <f t="shared" ref="E32:AH32" si="16">E27*$B$32</f>
        <v>879.66000000000031</v>
      </c>
      <c r="F32" s="300">
        <f t="shared" si="16"/>
        <v>879.66000000000031</v>
      </c>
      <c r="G32" s="300">
        <f t="shared" si="16"/>
        <v>879.66000000000031</v>
      </c>
      <c r="H32" s="300">
        <f t="shared" si="16"/>
        <v>879.66000000000031</v>
      </c>
      <c r="I32" s="300">
        <f t="shared" si="16"/>
        <v>293.22000000000014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318</v>
      </c>
      <c r="B33" s="375">
        <f>B18</f>
        <v>1000</v>
      </c>
      <c r="C33" s="303"/>
      <c r="D33" s="376">
        <f t="shared" ref="D33:Y33" si="17">$B33*D28</f>
        <v>33.333333333333336</v>
      </c>
      <c r="E33" s="376">
        <f t="shared" si="17"/>
        <v>50</v>
      </c>
      <c r="F33" s="376">
        <f t="shared" si="17"/>
        <v>50</v>
      </c>
      <c r="G33" s="376">
        <f t="shared" si="17"/>
        <v>50</v>
      </c>
      <c r="H33" s="376">
        <f t="shared" si="17"/>
        <v>50</v>
      </c>
      <c r="I33" s="376">
        <f t="shared" si="17"/>
        <v>50</v>
      </c>
      <c r="J33" s="376">
        <f t="shared" si="17"/>
        <v>50</v>
      </c>
      <c r="K33" s="376">
        <f t="shared" si="17"/>
        <v>50</v>
      </c>
      <c r="L33" s="376">
        <f t="shared" si="17"/>
        <v>50</v>
      </c>
      <c r="M33" s="376">
        <f t="shared" si="17"/>
        <v>50</v>
      </c>
      <c r="N33" s="376">
        <f t="shared" si="17"/>
        <v>50</v>
      </c>
      <c r="O33" s="376">
        <f t="shared" si="17"/>
        <v>50</v>
      </c>
      <c r="P33" s="376">
        <f t="shared" si="17"/>
        <v>50</v>
      </c>
      <c r="Q33" s="376">
        <f t="shared" si="17"/>
        <v>50</v>
      </c>
      <c r="R33" s="376">
        <f t="shared" si="17"/>
        <v>50</v>
      </c>
      <c r="S33" s="376">
        <f t="shared" si="17"/>
        <v>50</v>
      </c>
      <c r="T33" s="376">
        <f t="shared" si="17"/>
        <v>50</v>
      </c>
      <c r="U33" s="376">
        <f t="shared" si="17"/>
        <v>50</v>
      </c>
      <c r="V33" s="376">
        <f t="shared" si="17"/>
        <v>50</v>
      </c>
      <c r="W33" s="376">
        <f t="shared" si="17"/>
        <v>50</v>
      </c>
      <c r="X33" s="376">
        <f t="shared" si="17"/>
        <v>16.666666666666671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62</v>
      </c>
      <c r="B34" s="18">
        <f>SUM(B31:B33)</f>
        <v>109782.10768585253</v>
      </c>
      <c r="C34" s="303"/>
      <c r="D34" s="18">
        <f t="shared" ref="D34:Y34" si="19">SUM(D31:D33)</f>
        <v>5838.9637176259603</v>
      </c>
      <c r="E34" s="18">
        <f t="shared" si="19"/>
        <v>10846.12173015599</v>
      </c>
      <c r="F34" s="18">
        <f t="shared" si="19"/>
        <v>9854.4755571403912</v>
      </c>
      <c r="G34" s="18">
        <f t="shared" si="19"/>
        <v>8967.2131918106443</v>
      </c>
      <c r="H34" s="18">
        <f t="shared" si="19"/>
        <v>8163.4578726295804</v>
      </c>
      <c r="I34" s="18">
        <f t="shared" si="19"/>
        <v>6846.3312188286127</v>
      </c>
      <c r="J34" s="18">
        <f t="shared" si="19"/>
        <v>6208.6446534652987</v>
      </c>
      <c r="K34" s="18">
        <f t="shared" si="19"/>
        <v>6219.083034233885</v>
      </c>
      <c r="L34" s="18">
        <f t="shared" si="19"/>
        <v>6208.6446534652987</v>
      </c>
      <c r="M34" s="18">
        <f t="shared" si="19"/>
        <v>6219.083034233885</v>
      </c>
      <c r="N34" s="18">
        <f t="shared" si="19"/>
        <v>6208.6446534652987</v>
      </c>
      <c r="O34" s="18">
        <f t="shared" si="19"/>
        <v>6219.083034233885</v>
      </c>
      <c r="P34" s="18">
        <f t="shared" si="19"/>
        <v>6208.6446534652987</v>
      </c>
      <c r="Q34" s="18">
        <f t="shared" si="19"/>
        <v>6219.083034233885</v>
      </c>
      <c r="R34" s="18">
        <f t="shared" si="19"/>
        <v>6208.6446534652987</v>
      </c>
      <c r="S34" s="18">
        <f t="shared" si="19"/>
        <v>3129.3223267326493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109782.10768585253</v>
      </c>
      <c r="C36" s="379"/>
      <c r="D36" s="304">
        <f>B34-D34</f>
        <v>103943.14396822658</v>
      </c>
      <c r="E36" s="304">
        <f>D36-E34</f>
        <v>93097.022238070582</v>
      </c>
      <c r="F36" s="304">
        <f t="shared" ref="F36:W36" si="21">E36-F34</f>
        <v>83242.546680930187</v>
      </c>
      <c r="G36" s="304">
        <f t="shared" si="21"/>
        <v>74275.333489119541</v>
      </c>
      <c r="H36" s="304">
        <f t="shared" si="21"/>
        <v>66111.875616489968</v>
      </c>
      <c r="I36" s="304">
        <f t="shared" si="21"/>
        <v>59265.544397661353</v>
      </c>
      <c r="J36" s="304">
        <f t="shared" si="21"/>
        <v>53056.899744196053</v>
      </c>
      <c r="K36" s="304">
        <f t="shared" si="21"/>
        <v>46837.816709962164</v>
      </c>
      <c r="L36" s="304">
        <f t="shared" si="21"/>
        <v>40629.172056496864</v>
      </c>
      <c r="M36" s="304">
        <f t="shared" si="21"/>
        <v>34410.089022262982</v>
      </c>
      <c r="N36" s="304">
        <f t="shared" si="21"/>
        <v>28201.444368797682</v>
      </c>
      <c r="O36" s="304">
        <f t="shared" si="21"/>
        <v>21982.361334563797</v>
      </c>
      <c r="P36" s="304">
        <f t="shared" si="21"/>
        <v>15773.716681098498</v>
      </c>
      <c r="Q36" s="304">
        <f t="shared" si="21"/>
        <v>9554.6336468646132</v>
      </c>
      <c r="R36" s="304">
        <f t="shared" si="21"/>
        <v>3345.9889933993145</v>
      </c>
      <c r="S36" s="304">
        <f t="shared" si="21"/>
        <v>216.66666666666515</v>
      </c>
      <c r="T36" s="304">
        <f t="shared" si="21"/>
        <v>166.66666666666515</v>
      </c>
      <c r="U36" s="304">
        <f t="shared" si="21"/>
        <v>116.66666666666515</v>
      </c>
      <c r="V36" s="304">
        <f t="shared" si="21"/>
        <v>66.666666666665151</v>
      </c>
      <c r="W36" s="304">
        <f t="shared" si="21"/>
        <v>16.666666666665151</v>
      </c>
      <c r="X36" s="304">
        <f>W36-X34</f>
        <v>-1.5205614545266144E-12</v>
      </c>
      <c r="Y36" s="304">
        <f>X36-Y34</f>
        <v>-1.5205614545266144E-12</v>
      </c>
      <c r="Z36" s="304">
        <f t="shared" ref="Z36:AH36" si="22">Y36-Z34</f>
        <v>-1.5205614545266144E-12</v>
      </c>
      <c r="AA36" s="304">
        <f t="shared" si="22"/>
        <v>-1.5205614545266144E-12</v>
      </c>
      <c r="AB36" s="304">
        <f t="shared" si="22"/>
        <v>-1.5205614545266144E-12</v>
      </c>
      <c r="AC36" s="304">
        <f t="shared" si="22"/>
        <v>-1.5205614545266144E-12</v>
      </c>
      <c r="AD36" s="304">
        <f t="shared" si="22"/>
        <v>-1.5205614545266144E-12</v>
      </c>
      <c r="AE36" s="304">
        <f t="shared" si="22"/>
        <v>-1.5205614545266144E-12</v>
      </c>
      <c r="AF36" s="304">
        <f t="shared" si="22"/>
        <v>-1.5205614545266144E-12</v>
      </c>
      <c r="AG36" s="304">
        <f t="shared" si="22"/>
        <v>-1.5205614545266144E-12</v>
      </c>
      <c r="AH36" s="304">
        <f t="shared" si="22"/>
        <v>-1.5205614545266144E-12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2" t="s">
        <v>66</v>
      </c>
    </row>
    <row r="41" spans="1:38" s="10" customFormat="1">
      <c r="A41" s="21" t="s">
        <v>373</v>
      </c>
      <c r="B41" s="31">
        <f>Assumptions!$N$44</f>
        <v>30</v>
      </c>
      <c r="C41" s="373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252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318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251</v>
      </c>
      <c r="B45" s="374">
        <f>B16</f>
        <v>104383.80768585253</v>
      </c>
      <c r="C45" s="303"/>
      <c r="D45" s="18">
        <f t="shared" ref="D45:Y45" si="24">D41*$B$45</f>
        <v>2087.6761537170505</v>
      </c>
      <c r="E45" s="18">
        <f t="shared" si="24"/>
        <v>3131.5142305755758</v>
      </c>
      <c r="F45" s="18">
        <f t="shared" si="24"/>
        <v>3131.5142305755758</v>
      </c>
      <c r="G45" s="18">
        <f t="shared" si="24"/>
        <v>3131.5142305755758</v>
      </c>
      <c r="H45" s="18">
        <f t="shared" si="24"/>
        <v>3131.5142305755758</v>
      </c>
      <c r="I45" s="18">
        <f t="shared" si="24"/>
        <v>3131.5142305755758</v>
      </c>
      <c r="J45" s="18">
        <f t="shared" si="24"/>
        <v>3131.5142305755758</v>
      </c>
      <c r="K45" s="18">
        <f t="shared" si="24"/>
        <v>3131.5142305755758</v>
      </c>
      <c r="L45" s="18">
        <f t="shared" si="24"/>
        <v>3131.5142305755758</v>
      </c>
      <c r="M45" s="18">
        <f t="shared" si="24"/>
        <v>3131.5142305755758</v>
      </c>
      <c r="N45" s="18">
        <f t="shared" si="24"/>
        <v>3131.5142305755758</v>
      </c>
      <c r="O45" s="18">
        <f t="shared" si="24"/>
        <v>3131.5142305755758</v>
      </c>
      <c r="P45" s="18">
        <f t="shared" si="24"/>
        <v>3131.5142305755758</v>
      </c>
      <c r="Q45" s="18">
        <f t="shared" si="24"/>
        <v>3131.5142305755758</v>
      </c>
      <c r="R45" s="18">
        <f t="shared" si="24"/>
        <v>3131.5142305755758</v>
      </c>
      <c r="S45" s="18">
        <f t="shared" si="24"/>
        <v>3131.5142305755758</v>
      </c>
      <c r="T45" s="18">
        <f t="shared" si="24"/>
        <v>3131.5142305755758</v>
      </c>
      <c r="U45" s="18">
        <f t="shared" si="24"/>
        <v>3131.5142305755758</v>
      </c>
      <c r="V45" s="18">
        <f t="shared" si="24"/>
        <v>3131.5142305755758</v>
      </c>
      <c r="W45" s="18">
        <f t="shared" si="24"/>
        <v>3131.5142305755758</v>
      </c>
      <c r="X45" s="18">
        <f t="shared" si="24"/>
        <v>3131.5142305755758</v>
      </c>
      <c r="Y45" s="18">
        <f t="shared" si="24"/>
        <v>3131.5142305755758</v>
      </c>
      <c r="Z45" s="18">
        <f t="shared" ref="Z45:AH45" si="25">Z41*$B$45</f>
        <v>3131.5142305755758</v>
      </c>
      <c r="AA45" s="18">
        <f t="shared" si="25"/>
        <v>3131.5142305755758</v>
      </c>
      <c r="AB45" s="18">
        <f t="shared" si="25"/>
        <v>3131.5142305755758</v>
      </c>
      <c r="AC45" s="18">
        <f t="shared" si="25"/>
        <v>3131.5142305755758</v>
      </c>
      <c r="AD45" s="18">
        <f t="shared" si="25"/>
        <v>3131.5142305755758</v>
      </c>
      <c r="AE45" s="18">
        <f t="shared" si="25"/>
        <v>3131.5142305755758</v>
      </c>
      <c r="AF45" s="18">
        <f t="shared" si="25"/>
        <v>3131.5142305755758</v>
      </c>
      <c r="AG45" s="18">
        <f t="shared" si="25"/>
        <v>3131.5142305755758</v>
      </c>
      <c r="AH45" s="18">
        <f t="shared" si="25"/>
        <v>1043.8380768585255</v>
      </c>
      <c r="AI45" s="20"/>
      <c r="AJ45" s="20"/>
      <c r="AK45" s="20"/>
      <c r="AL45" s="20"/>
    </row>
    <row r="46" spans="1:38" s="10" customFormat="1">
      <c r="A46" s="21" t="s">
        <v>252</v>
      </c>
      <c r="B46" s="302">
        <f>B17</f>
        <v>4398.3000000000011</v>
      </c>
      <c r="C46" s="303"/>
      <c r="D46" s="300">
        <f>D42*$B$46</f>
        <v>586.44000000000017</v>
      </c>
      <c r="E46" s="300">
        <f t="shared" ref="E46:AH46" si="26">E42*$B$46</f>
        <v>879.66000000000031</v>
      </c>
      <c r="F46" s="300">
        <f t="shared" si="26"/>
        <v>879.66000000000031</v>
      </c>
      <c r="G46" s="300">
        <f t="shared" si="26"/>
        <v>879.66000000000031</v>
      </c>
      <c r="H46" s="300">
        <f t="shared" si="26"/>
        <v>879.66000000000031</v>
      </c>
      <c r="I46" s="300">
        <f t="shared" si="26"/>
        <v>293.22000000000014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318</v>
      </c>
      <c r="B47" s="375">
        <f>B18</f>
        <v>1000</v>
      </c>
      <c r="C47" s="303"/>
      <c r="D47" s="376">
        <f t="shared" ref="D47:Y47" si="27">D43*$B$47</f>
        <v>33.333333333333336</v>
      </c>
      <c r="E47" s="376">
        <f t="shared" si="27"/>
        <v>50</v>
      </c>
      <c r="F47" s="376">
        <f t="shared" si="27"/>
        <v>50</v>
      </c>
      <c r="G47" s="376">
        <f t="shared" si="27"/>
        <v>50</v>
      </c>
      <c r="H47" s="376">
        <f t="shared" si="27"/>
        <v>50</v>
      </c>
      <c r="I47" s="376">
        <f t="shared" si="27"/>
        <v>50</v>
      </c>
      <c r="J47" s="376">
        <f t="shared" si="27"/>
        <v>50</v>
      </c>
      <c r="K47" s="376">
        <f t="shared" si="27"/>
        <v>50</v>
      </c>
      <c r="L47" s="376">
        <f t="shared" si="27"/>
        <v>50</v>
      </c>
      <c r="M47" s="376">
        <f t="shared" si="27"/>
        <v>50</v>
      </c>
      <c r="N47" s="376">
        <f t="shared" si="27"/>
        <v>50</v>
      </c>
      <c r="O47" s="376">
        <f t="shared" si="27"/>
        <v>50</v>
      </c>
      <c r="P47" s="376">
        <f t="shared" si="27"/>
        <v>50</v>
      </c>
      <c r="Q47" s="376">
        <f t="shared" si="27"/>
        <v>50</v>
      </c>
      <c r="R47" s="376">
        <f t="shared" si="27"/>
        <v>50</v>
      </c>
      <c r="S47" s="376">
        <f t="shared" si="27"/>
        <v>50</v>
      </c>
      <c r="T47" s="376">
        <f t="shared" si="27"/>
        <v>50</v>
      </c>
      <c r="U47" s="376">
        <f t="shared" si="27"/>
        <v>50</v>
      </c>
      <c r="V47" s="376">
        <f t="shared" si="27"/>
        <v>50</v>
      </c>
      <c r="W47" s="376">
        <f t="shared" si="27"/>
        <v>50</v>
      </c>
      <c r="X47" s="376">
        <f t="shared" si="27"/>
        <v>16.666666666666671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109782.10768585253</v>
      </c>
      <c r="C48" s="303"/>
      <c r="D48" s="18">
        <f t="shared" ref="D48:Y48" si="29">SUM(D45:D47)</f>
        <v>2707.4494870503841</v>
      </c>
      <c r="E48" s="18">
        <f t="shared" si="29"/>
        <v>4061.1742305755761</v>
      </c>
      <c r="F48" s="18">
        <f t="shared" si="29"/>
        <v>4061.1742305755761</v>
      </c>
      <c r="G48" s="18">
        <f t="shared" si="29"/>
        <v>4061.1742305755761</v>
      </c>
      <c r="H48" s="18">
        <f t="shared" si="29"/>
        <v>4061.1742305755761</v>
      </c>
      <c r="I48" s="18">
        <f t="shared" si="29"/>
        <v>3474.734230575576</v>
      </c>
      <c r="J48" s="18">
        <f t="shared" si="29"/>
        <v>3181.5142305755758</v>
      </c>
      <c r="K48" s="18">
        <f t="shared" si="29"/>
        <v>3181.5142305755758</v>
      </c>
      <c r="L48" s="18">
        <f t="shared" si="29"/>
        <v>3181.5142305755758</v>
      </c>
      <c r="M48" s="18">
        <f t="shared" si="29"/>
        <v>3181.5142305755758</v>
      </c>
      <c r="N48" s="18">
        <f t="shared" si="29"/>
        <v>3181.5142305755758</v>
      </c>
      <c r="O48" s="18">
        <f t="shared" si="29"/>
        <v>3181.5142305755758</v>
      </c>
      <c r="P48" s="18">
        <f t="shared" si="29"/>
        <v>3181.5142305755758</v>
      </c>
      <c r="Q48" s="18">
        <f t="shared" si="29"/>
        <v>3181.5142305755758</v>
      </c>
      <c r="R48" s="18">
        <f t="shared" si="29"/>
        <v>3181.5142305755758</v>
      </c>
      <c r="S48" s="18">
        <f t="shared" si="29"/>
        <v>3181.5142305755758</v>
      </c>
      <c r="T48" s="18">
        <f t="shared" si="29"/>
        <v>3181.5142305755758</v>
      </c>
      <c r="U48" s="18">
        <f t="shared" si="29"/>
        <v>3181.5142305755758</v>
      </c>
      <c r="V48" s="18">
        <f t="shared" si="29"/>
        <v>3181.5142305755758</v>
      </c>
      <c r="W48" s="18">
        <f t="shared" si="29"/>
        <v>3181.5142305755758</v>
      </c>
      <c r="X48" s="18">
        <f t="shared" si="29"/>
        <v>3148.1808972422423</v>
      </c>
      <c r="Y48" s="18">
        <f t="shared" si="29"/>
        <v>3131.5142305755758</v>
      </c>
      <c r="Z48" s="18">
        <f t="shared" ref="Z48:AH48" si="30">SUM(Z45:Z47)</f>
        <v>3131.5142305755758</v>
      </c>
      <c r="AA48" s="18">
        <f t="shared" si="30"/>
        <v>3131.5142305755758</v>
      </c>
      <c r="AB48" s="18">
        <f t="shared" si="30"/>
        <v>3131.5142305755758</v>
      </c>
      <c r="AC48" s="18">
        <f t="shared" si="30"/>
        <v>3131.5142305755758</v>
      </c>
      <c r="AD48" s="18">
        <f t="shared" si="30"/>
        <v>3131.5142305755758</v>
      </c>
      <c r="AE48" s="18">
        <f t="shared" si="30"/>
        <v>3131.5142305755758</v>
      </c>
      <c r="AF48" s="18">
        <f t="shared" si="30"/>
        <v>3131.5142305755758</v>
      </c>
      <c r="AG48" s="18">
        <f t="shared" si="30"/>
        <v>3131.5142305755758</v>
      </c>
      <c r="AH48" s="18">
        <f t="shared" si="30"/>
        <v>1043.8380768585255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80">
        <f>B48</f>
        <v>109782.10768585253</v>
      </c>
      <c r="C50" s="379"/>
      <c r="D50" s="304">
        <f>B48-D48</f>
        <v>107074.65819880215</v>
      </c>
      <c r="E50" s="304">
        <f>D50-E48</f>
        <v>103013.48396822657</v>
      </c>
      <c r="F50" s="304">
        <f t="shared" ref="F50:Y50" si="31">E50-F48</f>
        <v>98952.309737650998</v>
      </c>
      <c r="G50" s="304">
        <f t="shared" si="31"/>
        <v>94891.135507075422</v>
      </c>
      <c r="H50" s="304">
        <f t="shared" si="31"/>
        <v>90829.961276499846</v>
      </c>
      <c r="I50" s="304">
        <f t="shared" si="31"/>
        <v>87355.227045924272</v>
      </c>
      <c r="J50" s="304">
        <f t="shared" si="31"/>
        <v>84173.712815348699</v>
      </c>
      <c r="K50" s="304">
        <f t="shared" si="31"/>
        <v>80992.198584773127</v>
      </c>
      <c r="L50" s="304">
        <f t="shared" si="31"/>
        <v>77810.684354197554</v>
      </c>
      <c r="M50" s="304">
        <f t="shared" si="31"/>
        <v>74629.170123621981</v>
      </c>
      <c r="N50" s="304">
        <f t="shared" si="31"/>
        <v>71447.655893046409</v>
      </c>
      <c r="O50" s="304">
        <f t="shared" si="31"/>
        <v>68266.141662470836</v>
      </c>
      <c r="P50" s="304">
        <f t="shared" si="31"/>
        <v>65084.627431895264</v>
      </c>
      <c r="Q50" s="304">
        <f t="shared" si="31"/>
        <v>61903.113201319691</v>
      </c>
      <c r="R50" s="304">
        <f t="shared" si="31"/>
        <v>58721.598970744119</v>
      </c>
      <c r="S50" s="304">
        <f t="shared" si="31"/>
        <v>55540.084740168546</v>
      </c>
      <c r="T50" s="304">
        <f t="shared" si="31"/>
        <v>52358.570509592973</v>
      </c>
      <c r="U50" s="304">
        <f t="shared" si="31"/>
        <v>49177.056279017401</v>
      </c>
      <c r="V50" s="304">
        <f t="shared" si="31"/>
        <v>45995.542048441828</v>
      </c>
      <c r="W50" s="304">
        <f t="shared" si="31"/>
        <v>42814.027817866256</v>
      </c>
      <c r="X50" s="304">
        <f t="shared" si="31"/>
        <v>39665.846920624012</v>
      </c>
      <c r="Y50" s="304">
        <f t="shared" si="31"/>
        <v>36534.332690048439</v>
      </c>
      <c r="Z50" s="304">
        <f t="shared" ref="Z50:AH50" si="32">Y50-Z48</f>
        <v>33402.818459472866</v>
      </c>
      <c r="AA50" s="304">
        <f t="shared" si="32"/>
        <v>30271.30422889729</v>
      </c>
      <c r="AB50" s="304">
        <f t="shared" si="32"/>
        <v>27139.789998321714</v>
      </c>
      <c r="AC50" s="304">
        <f t="shared" si="32"/>
        <v>24008.275767746138</v>
      </c>
      <c r="AD50" s="304">
        <f t="shared" si="32"/>
        <v>20876.761537170561</v>
      </c>
      <c r="AE50" s="304">
        <f t="shared" si="32"/>
        <v>17745.247306594985</v>
      </c>
      <c r="AF50" s="304">
        <f t="shared" si="32"/>
        <v>14613.733076019409</v>
      </c>
      <c r="AG50" s="304">
        <f t="shared" si="32"/>
        <v>11482.218845443833</v>
      </c>
      <c r="AH50" s="304">
        <f t="shared" si="32"/>
        <v>10438.380768585308</v>
      </c>
      <c r="AI50" s="238"/>
      <c r="AJ50" s="238"/>
      <c r="AK50" s="238"/>
      <c r="AL50" s="238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6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1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6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7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>
        <f>IS!C40</f>
        <v>1286.9058808887694</v>
      </c>
      <c r="C10" s="19">
        <f>IS!D40</f>
        <v>2310.7874158473569</v>
      </c>
      <c r="D10" s="19">
        <f>IS!E40</f>
        <v>2554.7653176266322</v>
      </c>
      <c r="E10" s="19">
        <f>IS!F40</f>
        <v>2820.1939266499758</v>
      </c>
      <c r="F10" s="19">
        <f>IS!G40</f>
        <v>3109.6038314425823</v>
      </c>
      <c r="G10" s="19">
        <f>IS!H40</f>
        <v>4008.3988870943431</v>
      </c>
      <c r="H10" s="19">
        <f>IS!I40</f>
        <v>4640.2766626383745</v>
      </c>
      <c r="I10" s="19">
        <f>IS!J40</f>
        <v>5006.416560675978</v>
      </c>
      <c r="J10" s="19">
        <f>IS!K40</f>
        <v>5405.0381874779323</v>
      </c>
      <c r="K10" s="19">
        <f>IS!L40</f>
        <v>5835.7252894764461</v>
      </c>
      <c r="L10" s="19">
        <f>IS!M40</f>
        <v>6302.672422271623</v>
      </c>
      <c r="M10" s="19">
        <f>IS!N40</f>
        <v>6807.858644685266</v>
      </c>
      <c r="N10" s="19">
        <f>IS!O40</f>
        <v>7357.2719216610003</v>
      </c>
      <c r="O10" s="19">
        <f>IS!P40</f>
        <v>7951.347872233624</v>
      </c>
      <c r="P10" s="19">
        <f>IS!Q40</f>
        <v>8595.4392743746066</v>
      </c>
      <c r="Q10" s="19">
        <f>IS!R40</f>
        <v>9292.628276012696</v>
      </c>
      <c r="R10" s="19">
        <f>IS!S40</f>
        <v>10000.310274213371</v>
      </c>
      <c r="S10" s="19">
        <f>IS!T40</f>
        <v>10091.499956643416</v>
      </c>
      <c r="T10" s="19">
        <f>IS!U40</f>
        <v>10054.01774793677</v>
      </c>
      <c r="U10" s="19">
        <f>IS!V40</f>
        <v>10015.523092282441</v>
      </c>
      <c r="V10" s="19">
        <f>IS!W40</f>
        <v>509.6206246902384</v>
      </c>
      <c r="W10" s="19">
        <f>IS!X40</f>
        <v>-4732.8193212293463</v>
      </c>
      <c r="X10" s="19">
        <f>IS!Y40</f>
        <v>-4836.6030166641613</v>
      </c>
      <c r="Y10" s="19">
        <f>IS!Z40</f>
        <v>-4991.8369488039825</v>
      </c>
      <c r="Z10" s="19">
        <f>IS!AA40</f>
        <v>-5160.7559417038456</v>
      </c>
      <c r="AA10" s="19">
        <f>IS!AB40</f>
        <v>-5344.061701109993</v>
      </c>
      <c r="AB10" s="19">
        <f>IS!AC40</f>
        <v>-5543.2117210361839</v>
      </c>
      <c r="AC10" s="19">
        <f>IS!AD40</f>
        <v>-5759.3772202835389</v>
      </c>
      <c r="AD10" s="19">
        <f>IS!AE40</f>
        <v>-5994.4549254819376</v>
      </c>
      <c r="AE10" s="19">
        <f>IS!AF40</f>
        <v>-6249.4882397126194</v>
      </c>
      <c r="AF10" s="19">
        <f>IS!AG40</f>
        <v>-4480.0230036227731</v>
      </c>
    </row>
    <row r="11" spans="1:32">
      <c r="A11" s="21" t="s">
        <v>69</v>
      </c>
      <c r="B11" s="19">
        <f>IS!C34</f>
        <v>2707.4494870503841</v>
      </c>
      <c r="C11" s="19">
        <f>IS!D34</f>
        <v>4061.1742305755761</v>
      </c>
      <c r="D11" s="19">
        <f>IS!E34</f>
        <v>4061.1742305755761</v>
      </c>
      <c r="E11" s="19">
        <f>IS!F34</f>
        <v>4061.1742305755761</v>
      </c>
      <c r="F11" s="19">
        <f>IS!G34</f>
        <v>4061.1742305755761</v>
      </c>
      <c r="G11" s="19">
        <f>IS!H34</f>
        <v>3474.734230575576</v>
      </c>
      <c r="H11" s="19">
        <f>IS!I34</f>
        <v>3181.5142305755758</v>
      </c>
      <c r="I11" s="19">
        <f>IS!J34</f>
        <v>3181.5142305755758</v>
      </c>
      <c r="J11" s="19">
        <f>IS!K34</f>
        <v>3181.5142305755758</v>
      </c>
      <c r="K11" s="19">
        <f>IS!L34</f>
        <v>3181.5142305755758</v>
      </c>
      <c r="L11" s="19">
        <f>IS!M34</f>
        <v>3181.5142305755758</v>
      </c>
      <c r="M11" s="19">
        <f>IS!N34</f>
        <v>3181.5142305755758</v>
      </c>
      <c r="N11" s="19">
        <f>IS!O34</f>
        <v>3181.5142305755758</v>
      </c>
      <c r="O11" s="19">
        <f>IS!P34</f>
        <v>3181.5142305755758</v>
      </c>
      <c r="P11" s="19">
        <f>IS!Q34</f>
        <v>3181.5142305755758</v>
      </c>
      <c r="Q11" s="19">
        <f>IS!R34</f>
        <v>3181.5142305755758</v>
      </c>
      <c r="R11" s="19">
        <f>IS!S34</f>
        <v>3181.5142305755758</v>
      </c>
      <c r="S11" s="19">
        <f>IS!T34</f>
        <v>3181.5142305755758</v>
      </c>
      <c r="T11" s="19">
        <f>IS!U34</f>
        <v>3181.5142305755758</v>
      </c>
      <c r="U11" s="19">
        <f>IS!V34</f>
        <v>3181.5142305755758</v>
      </c>
      <c r="V11" s="19">
        <f>IS!W34</f>
        <v>3148.1808972422423</v>
      </c>
      <c r="W11" s="19">
        <f>IS!X34</f>
        <v>3131.5142305755758</v>
      </c>
      <c r="X11" s="19">
        <f>IS!Y34</f>
        <v>3131.5142305755758</v>
      </c>
      <c r="Y11" s="19">
        <f>IS!Z34</f>
        <v>3131.5142305755758</v>
      </c>
      <c r="Z11" s="19">
        <f>IS!AA34</f>
        <v>3131.5142305755758</v>
      </c>
      <c r="AA11" s="19">
        <f>IS!AB34</f>
        <v>3131.5142305755758</v>
      </c>
      <c r="AB11" s="19">
        <f>IS!AC34</f>
        <v>3131.5142305755758</v>
      </c>
      <c r="AC11" s="19">
        <f>IS!AD34</f>
        <v>3131.5142305755758</v>
      </c>
      <c r="AD11" s="19">
        <f>IS!AE34</f>
        <v>3131.5142305755758</v>
      </c>
      <c r="AE11" s="19">
        <f>IS!AF34</f>
        <v>3131.5142305755758</v>
      </c>
      <c r="AF11" s="19">
        <f>IS!AG34</f>
        <v>1043.8380768585255</v>
      </c>
    </row>
    <row r="12" spans="1:32" ht="15">
      <c r="A12" s="21" t="s">
        <v>70</v>
      </c>
      <c r="B12" s="129">
        <f>-Depreciation!D34</f>
        <v>-5838.9637176259603</v>
      </c>
      <c r="C12" s="129">
        <f>-Depreciation!E34</f>
        <v>-10846.12173015599</v>
      </c>
      <c r="D12" s="129">
        <f>-Depreciation!F34</f>
        <v>-9854.4755571403912</v>
      </c>
      <c r="E12" s="129">
        <f>-Depreciation!G34</f>
        <v>-8967.2131918106443</v>
      </c>
      <c r="F12" s="129">
        <f>-Depreciation!H34</f>
        <v>-8163.4578726295804</v>
      </c>
      <c r="G12" s="129">
        <f>-Depreciation!I34</f>
        <v>-6846.3312188286127</v>
      </c>
      <c r="H12" s="129">
        <f>-Depreciation!J34</f>
        <v>-6208.6446534652987</v>
      </c>
      <c r="I12" s="129">
        <f>-Depreciation!K34</f>
        <v>-6219.083034233885</v>
      </c>
      <c r="J12" s="129">
        <f>-Depreciation!L34</f>
        <v>-6208.6446534652987</v>
      </c>
      <c r="K12" s="129">
        <f>-Depreciation!M34</f>
        <v>-6219.083034233885</v>
      </c>
      <c r="L12" s="129">
        <f>-Depreciation!N34</f>
        <v>-6208.6446534652987</v>
      </c>
      <c r="M12" s="129">
        <f>-Depreciation!O34</f>
        <v>-6219.083034233885</v>
      </c>
      <c r="N12" s="129">
        <f>-Depreciation!P34</f>
        <v>-6208.6446534652987</v>
      </c>
      <c r="O12" s="129">
        <f>-Depreciation!Q34</f>
        <v>-6219.083034233885</v>
      </c>
      <c r="P12" s="129">
        <f>-Depreciation!R34</f>
        <v>-6208.6446534652987</v>
      </c>
      <c r="Q12" s="129">
        <f>-Depreciation!S34</f>
        <v>-3129.3223267326493</v>
      </c>
      <c r="R12" s="129">
        <f>-Depreciation!T34</f>
        <v>-50</v>
      </c>
      <c r="S12" s="129">
        <f>-Depreciation!U34</f>
        <v>-50</v>
      </c>
      <c r="T12" s="129">
        <f>-Depreciation!V34</f>
        <v>-50</v>
      </c>
      <c r="U12" s="129">
        <f>-Depreciation!W34</f>
        <v>-50</v>
      </c>
      <c r="V12" s="129">
        <f>-Depreciation!X34</f>
        <v>-16.666666666666671</v>
      </c>
      <c r="W12" s="129">
        <f>-Depreciation!Y34</f>
        <v>0</v>
      </c>
      <c r="X12" s="129">
        <f>-Depreciation!Z34</f>
        <v>0</v>
      </c>
      <c r="Y12" s="129">
        <f>-Depreciation!AA34</f>
        <v>0</v>
      </c>
      <c r="Z12" s="129">
        <f>-Depreciation!AB34</f>
        <v>0</v>
      </c>
      <c r="AA12" s="129">
        <f>-Depreciation!AC34</f>
        <v>0</v>
      </c>
      <c r="AB12" s="129">
        <f>-Depreciation!AD34</f>
        <v>0</v>
      </c>
      <c r="AC12" s="129">
        <f>-Depreciation!AE34</f>
        <v>0</v>
      </c>
      <c r="AD12" s="129">
        <f>-Depreciation!AF34</f>
        <v>0</v>
      </c>
      <c r="AE12" s="129">
        <f>-Depreciation!AG34</f>
        <v>0</v>
      </c>
      <c r="AF12" s="129">
        <f>-Depreciation!AH34</f>
        <v>0</v>
      </c>
    </row>
    <row r="13" spans="1:32">
      <c r="A13" s="128" t="s">
        <v>71</v>
      </c>
      <c r="B13" s="23">
        <f>SUM(B10:B12)</f>
        <v>-1844.6083496868068</v>
      </c>
      <c r="C13" s="23">
        <f t="shared" ref="C13:W13" si="0">SUM(C10:C12)</f>
        <v>-4474.160083733057</v>
      </c>
      <c r="D13" s="23">
        <f t="shared" si="0"/>
        <v>-3238.5360089381829</v>
      </c>
      <c r="E13" s="23">
        <f t="shared" si="0"/>
        <v>-2085.8450345850924</v>
      </c>
      <c r="F13" s="23">
        <f t="shared" si="0"/>
        <v>-992.679810611422</v>
      </c>
      <c r="G13" s="23">
        <f t="shared" si="0"/>
        <v>636.80189884130596</v>
      </c>
      <c r="H13" s="23">
        <f t="shared" si="0"/>
        <v>1613.1462397486521</v>
      </c>
      <c r="I13" s="23">
        <f t="shared" si="0"/>
        <v>1968.8477570176692</v>
      </c>
      <c r="J13" s="23">
        <f t="shared" si="0"/>
        <v>2377.9077645882098</v>
      </c>
      <c r="K13" s="23">
        <f t="shared" si="0"/>
        <v>2798.1564858181373</v>
      </c>
      <c r="L13" s="23">
        <f t="shared" si="0"/>
        <v>3275.5419993818996</v>
      </c>
      <c r="M13" s="23">
        <f t="shared" si="0"/>
        <v>3770.2898410269572</v>
      </c>
      <c r="N13" s="23">
        <f t="shared" si="0"/>
        <v>4330.1414987712778</v>
      </c>
      <c r="O13" s="23">
        <f t="shared" si="0"/>
        <v>4913.7790685753153</v>
      </c>
      <c r="P13" s="23">
        <f t="shared" si="0"/>
        <v>5568.3088514848841</v>
      </c>
      <c r="Q13" s="23">
        <f t="shared" si="0"/>
        <v>9344.820179855622</v>
      </c>
      <c r="R13" s="23">
        <f t="shared" si="0"/>
        <v>13131.824504788947</v>
      </c>
      <c r="S13" s="23">
        <f t="shared" si="0"/>
        <v>13223.014187218992</v>
      </c>
      <c r="T13" s="23">
        <f t="shared" si="0"/>
        <v>13185.531978512347</v>
      </c>
      <c r="U13" s="23">
        <f t="shared" si="0"/>
        <v>13147.037322858017</v>
      </c>
      <c r="V13" s="23">
        <f t="shared" si="0"/>
        <v>3641.1348552658142</v>
      </c>
      <c r="W13" s="23">
        <f t="shared" si="0"/>
        <v>-1601.3050906537705</v>
      </c>
      <c r="X13" s="23">
        <f t="shared" ref="X13:AF13" si="1">SUM(X10:X12)</f>
        <v>-1705.0887860885855</v>
      </c>
      <c r="Y13" s="23">
        <f t="shared" si="1"/>
        <v>-1860.3227182284068</v>
      </c>
      <c r="Z13" s="23">
        <f t="shared" si="1"/>
        <v>-2029.2417111282698</v>
      </c>
      <c r="AA13" s="23">
        <f t="shared" si="1"/>
        <v>-2212.5474705344172</v>
      </c>
      <c r="AB13" s="23">
        <f t="shared" si="1"/>
        <v>-2411.6974904606082</v>
      </c>
      <c r="AC13" s="23">
        <f t="shared" si="1"/>
        <v>-2627.8629897079632</v>
      </c>
      <c r="AD13" s="23">
        <f t="shared" si="1"/>
        <v>-2862.9406949063618</v>
      </c>
      <c r="AE13" s="23">
        <f t="shared" si="1"/>
        <v>-3117.9740091370436</v>
      </c>
      <c r="AF13" s="23">
        <f t="shared" si="1"/>
        <v>-3436.1849267642474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0">
        <f>Assumptions!$N$51</f>
        <v>7.0000000000000007E-2</v>
      </c>
      <c r="C15" s="130">
        <f>Assumptions!$N$51</f>
        <v>7.0000000000000007E-2</v>
      </c>
      <c r="D15" s="130">
        <f>Assumptions!$N$51</f>
        <v>7.0000000000000007E-2</v>
      </c>
      <c r="E15" s="130">
        <f>Assumptions!$N$51</f>
        <v>7.0000000000000007E-2</v>
      </c>
      <c r="F15" s="130">
        <f>Assumptions!$N$51</f>
        <v>7.0000000000000007E-2</v>
      </c>
      <c r="G15" s="130">
        <f>Assumptions!$N$51</f>
        <v>7.0000000000000007E-2</v>
      </c>
      <c r="H15" s="130">
        <f>Assumptions!$N$51</f>
        <v>7.0000000000000007E-2</v>
      </c>
      <c r="I15" s="130">
        <f>Assumptions!$N$51</f>
        <v>7.0000000000000007E-2</v>
      </c>
      <c r="J15" s="130">
        <f>Assumptions!$N$51</f>
        <v>7.0000000000000007E-2</v>
      </c>
      <c r="K15" s="130">
        <f>Assumptions!$N$51</f>
        <v>7.0000000000000007E-2</v>
      </c>
      <c r="L15" s="130">
        <f>Assumptions!$N$51</f>
        <v>7.0000000000000007E-2</v>
      </c>
      <c r="M15" s="130">
        <f>Assumptions!$N$51</f>
        <v>7.0000000000000007E-2</v>
      </c>
      <c r="N15" s="130">
        <f>Assumptions!$N$51</f>
        <v>7.0000000000000007E-2</v>
      </c>
      <c r="O15" s="130">
        <f>Assumptions!$N$51</f>
        <v>7.0000000000000007E-2</v>
      </c>
      <c r="P15" s="130">
        <f>Assumptions!$N$51</f>
        <v>7.0000000000000007E-2</v>
      </c>
      <c r="Q15" s="130">
        <f>Assumptions!$N$51</f>
        <v>7.0000000000000007E-2</v>
      </c>
      <c r="R15" s="130">
        <f>Assumptions!$N$51</f>
        <v>7.0000000000000007E-2</v>
      </c>
      <c r="S15" s="130">
        <f>Assumptions!$N$51</f>
        <v>7.0000000000000007E-2</v>
      </c>
      <c r="T15" s="130">
        <f>Assumptions!$N$51</f>
        <v>7.0000000000000007E-2</v>
      </c>
      <c r="U15" s="130">
        <f>Assumptions!$N$51</f>
        <v>7.0000000000000007E-2</v>
      </c>
      <c r="V15" s="130">
        <f>Assumptions!$N$51</f>
        <v>7.0000000000000007E-2</v>
      </c>
      <c r="W15" s="130">
        <f>Assumptions!$N$51</f>
        <v>7.0000000000000007E-2</v>
      </c>
      <c r="X15" s="130">
        <f>Assumptions!$N$51</f>
        <v>7.0000000000000007E-2</v>
      </c>
      <c r="Y15" s="130">
        <f>Assumptions!$N$51</f>
        <v>7.0000000000000007E-2</v>
      </c>
      <c r="Z15" s="130">
        <f>Assumptions!$N$51</f>
        <v>7.0000000000000007E-2</v>
      </c>
      <c r="AA15" s="130">
        <f>Assumptions!$N$51</f>
        <v>7.0000000000000007E-2</v>
      </c>
      <c r="AB15" s="130">
        <f>Assumptions!$N$51</f>
        <v>7.0000000000000007E-2</v>
      </c>
      <c r="AC15" s="130">
        <f>Assumptions!$N$51</f>
        <v>7.0000000000000007E-2</v>
      </c>
      <c r="AD15" s="130">
        <f>Assumptions!$N$51</f>
        <v>7.0000000000000007E-2</v>
      </c>
      <c r="AE15" s="130">
        <f>Assumptions!$N$51</f>
        <v>7.0000000000000007E-2</v>
      </c>
      <c r="AF15" s="130">
        <f>Assumptions!$N$51</f>
        <v>7.0000000000000007E-2</v>
      </c>
    </row>
    <row r="16" spans="1:32">
      <c r="A16" s="21" t="s">
        <v>72</v>
      </c>
      <c r="B16" s="19">
        <f t="shared" ref="B16:AF16" si="2">B13*B15</f>
        <v>-129.1225844780765</v>
      </c>
      <c r="C16" s="19">
        <f t="shared" si="2"/>
        <v>-313.19120586131402</v>
      </c>
      <c r="D16" s="19">
        <f t="shared" si="2"/>
        <v>-226.69752062567284</v>
      </c>
      <c r="E16" s="19">
        <f t="shared" si="2"/>
        <v>-146.0091524209565</v>
      </c>
      <c r="F16" s="19">
        <f t="shared" si="2"/>
        <v>-69.48758674279955</v>
      </c>
      <c r="G16" s="19">
        <f t="shared" si="2"/>
        <v>44.576132918891425</v>
      </c>
      <c r="H16" s="19">
        <f t="shared" si="2"/>
        <v>112.92023678240565</v>
      </c>
      <c r="I16" s="19">
        <f t="shared" si="2"/>
        <v>137.81934299123685</v>
      </c>
      <c r="J16" s="19">
        <f t="shared" si="2"/>
        <v>166.45354352117471</v>
      </c>
      <c r="K16" s="19">
        <f t="shared" si="2"/>
        <v>195.87095400726963</v>
      </c>
      <c r="L16" s="19">
        <f t="shared" si="2"/>
        <v>229.287939956733</v>
      </c>
      <c r="M16" s="19">
        <f t="shared" si="2"/>
        <v>263.92028887188701</v>
      </c>
      <c r="N16" s="19">
        <f t="shared" si="2"/>
        <v>303.10990491398945</v>
      </c>
      <c r="O16" s="19">
        <f t="shared" si="2"/>
        <v>343.96453480027208</v>
      </c>
      <c r="P16" s="19">
        <f t="shared" si="2"/>
        <v>389.78161960394192</v>
      </c>
      <c r="Q16" s="19">
        <f t="shared" si="2"/>
        <v>654.13741258989364</v>
      </c>
      <c r="R16" s="19">
        <f t="shared" si="2"/>
        <v>919.22771533522632</v>
      </c>
      <c r="S16" s="19">
        <f t="shared" si="2"/>
        <v>925.61099310532961</v>
      </c>
      <c r="T16" s="19">
        <f t="shared" si="2"/>
        <v>922.98723849586429</v>
      </c>
      <c r="U16" s="19">
        <f t="shared" si="2"/>
        <v>920.29261260006126</v>
      </c>
      <c r="V16" s="19">
        <f t="shared" si="2"/>
        <v>254.87943986860702</v>
      </c>
      <c r="W16" s="19">
        <f t="shared" si="2"/>
        <v>-112.09135634576396</v>
      </c>
      <c r="X16" s="19">
        <f t="shared" si="2"/>
        <v>-119.356215026201</v>
      </c>
      <c r="Y16" s="19">
        <f t="shared" si="2"/>
        <v>-130.22259027598849</v>
      </c>
      <c r="Z16" s="19">
        <f t="shared" si="2"/>
        <v>-142.04691977897889</v>
      </c>
      <c r="AA16" s="19">
        <f t="shared" si="2"/>
        <v>-154.87832293740922</v>
      </c>
      <c r="AB16" s="19">
        <f t="shared" si="2"/>
        <v>-168.8188243322426</v>
      </c>
      <c r="AC16" s="19">
        <f t="shared" si="2"/>
        <v>-183.95040927955745</v>
      </c>
      <c r="AD16" s="19">
        <f t="shared" si="2"/>
        <v>-200.40584864344535</v>
      </c>
      <c r="AE16" s="19">
        <f t="shared" si="2"/>
        <v>-218.25818063959306</v>
      </c>
      <c r="AF16" s="19">
        <f t="shared" si="2"/>
        <v>-240.53294487349734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129.1225844780765</v>
      </c>
      <c r="D18" s="19">
        <f t="shared" ref="D18:W18" si="3">C22</f>
        <v>442.31379033939049</v>
      </c>
      <c r="E18" s="19">
        <f t="shared" si="3"/>
        <v>669.01131096506333</v>
      </c>
      <c r="F18" s="19">
        <f t="shared" si="3"/>
        <v>815.02046338601986</v>
      </c>
      <c r="G18" s="19">
        <f t="shared" si="3"/>
        <v>884.50805012881938</v>
      </c>
      <c r="H18" s="19">
        <f t="shared" si="3"/>
        <v>839.93191720992797</v>
      </c>
      <c r="I18" s="19">
        <f t="shared" si="3"/>
        <v>727.01168042752238</v>
      </c>
      <c r="J18" s="19">
        <f t="shared" si="3"/>
        <v>589.19233743628547</v>
      </c>
      <c r="K18" s="19">
        <f t="shared" si="3"/>
        <v>422.73879391511076</v>
      </c>
      <c r="L18" s="19">
        <f t="shared" si="3"/>
        <v>226.86783990784113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112.09135634576396</v>
      </c>
      <c r="Y18" s="19">
        <f t="shared" si="4"/>
        <v>231.44757137196495</v>
      </c>
      <c r="Z18" s="19">
        <f t="shared" si="4"/>
        <v>361.67016164795348</v>
      </c>
      <c r="AA18" s="19">
        <f t="shared" si="4"/>
        <v>503.7170814269324</v>
      </c>
      <c r="AB18" s="19">
        <f t="shared" si="4"/>
        <v>658.59540436434168</v>
      </c>
      <c r="AC18" s="19">
        <f t="shared" si="4"/>
        <v>827.41422869658425</v>
      </c>
      <c r="AD18" s="19">
        <f t="shared" si="4"/>
        <v>1011.3646379761417</v>
      </c>
      <c r="AE18" s="19">
        <f t="shared" si="4"/>
        <v>1211.770486619587</v>
      </c>
      <c r="AF18" s="19">
        <f t="shared" si="4"/>
        <v>1317.9373109134162</v>
      </c>
    </row>
    <row r="19" spans="1:32">
      <c r="A19" s="21" t="s">
        <v>74</v>
      </c>
      <c r="B19" s="138">
        <f>IF(B16&lt;0,-B16,0)</f>
        <v>129.1225844780765</v>
      </c>
      <c r="C19" s="138">
        <f t="shared" ref="C19:W19" si="5">IF(C16&lt;0,-C16,0)</f>
        <v>313.19120586131402</v>
      </c>
      <c r="D19" s="138">
        <f t="shared" si="5"/>
        <v>226.69752062567284</v>
      </c>
      <c r="E19" s="138">
        <f t="shared" si="5"/>
        <v>146.0091524209565</v>
      </c>
      <c r="F19" s="138">
        <f t="shared" si="5"/>
        <v>69.48758674279955</v>
      </c>
      <c r="G19" s="138">
        <f t="shared" si="5"/>
        <v>0</v>
      </c>
      <c r="H19" s="138">
        <f t="shared" si="5"/>
        <v>0</v>
      </c>
      <c r="I19" s="138">
        <f t="shared" si="5"/>
        <v>0</v>
      </c>
      <c r="J19" s="138">
        <f t="shared" si="5"/>
        <v>0</v>
      </c>
      <c r="K19" s="138">
        <f t="shared" si="5"/>
        <v>0</v>
      </c>
      <c r="L19" s="138">
        <f t="shared" si="5"/>
        <v>0</v>
      </c>
      <c r="M19" s="138">
        <f t="shared" si="5"/>
        <v>0</v>
      </c>
      <c r="N19" s="138">
        <f t="shared" si="5"/>
        <v>0</v>
      </c>
      <c r="O19" s="138">
        <f t="shared" si="5"/>
        <v>0</v>
      </c>
      <c r="P19" s="138">
        <f t="shared" si="5"/>
        <v>0</v>
      </c>
      <c r="Q19" s="138">
        <f t="shared" si="5"/>
        <v>0</v>
      </c>
      <c r="R19" s="138">
        <f t="shared" si="5"/>
        <v>0</v>
      </c>
      <c r="S19" s="138">
        <f t="shared" si="5"/>
        <v>0</v>
      </c>
      <c r="T19" s="138">
        <f t="shared" si="5"/>
        <v>0</v>
      </c>
      <c r="U19" s="138">
        <f t="shared" si="5"/>
        <v>0</v>
      </c>
      <c r="V19" s="138">
        <f t="shared" si="5"/>
        <v>0</v>
      </c>
      <c r="W19" s="138">
        <f t="shared" si="5"/>
        <v>112.09135634576396</v>
      </c>
      <c r="X19" s="138">
        <f t="shared" ref="X19:AF19" si="6">IF(X16&lt;0,-X16,0)</f>
        <v>119.356215026201</v>
      </c>
      <c r="Y19" s="138">
        <f t="shared" si="6"/>
        <v>130.22259027598849</v>
      </c>
      <c r="Z19" s="138">
        <f t="shared" si="6"/>
        <v>142.04691977897889</v>
      </c>
      <c r="AA19" s="138">
        <f t="shared" si="6"/>
        <v>154.87832293740922</v>
      </c>
      <c r="AB19" s="138">
        <f t="shared" si="6"/>
        <v>168.8188243322426</v>
      </c>
      <c r="AC19" s="138">
        <f t="shared" si="6"/>
        <v>183.95040927955745</v>
      </c>
      <c r="AD19" s="138">
        <f t="shared" si="6"/>
        <v>200.40584864344535</v>
      </c>
      <c r="AE19" s="138">
        <f t="shared" si="6"/>
        <v>218.25818063959306</v>
      </c>
      <c r="AF19" s="138">
        <f t="shared" si="6"/>
        <v>240.53294487349734</v>
      </c>
    </row>
    <row r="20" spans="1:32">
      <c r="A20" s="13" t="s">
        <v>290</v>
      </c>
      <c r="B20" s="467">
        <v>0</v>
      </c>
      <c r="C20" s="468">
        <v>0</v>
      </c>
      <c r="D20" s="468">
        <v>0</v>
      </c>
      <c r="E20" s="468">
        <v>0</v>
      </c>
      <c r="F20" s="468">
        <v>0</v>
      </c>
      <c r="G20" s="468">
        <v>0</v>
      </c>
      <c r="H20" s="468">
        <v>0</v>
      </c>
      <c r="I20" s="469">
        <v>0</v>
      </c>
      <c r="J20" s="470">
        <f>IF(-SUM(B21:I21, B20:I20)&gt;B19,0,-B19-SUM(B21:I21,B20:I20))</f>
        <v>0</v>
      </c>
      <c r="K20" s="470">
        <f t="shared" ref="K20:AF20" si="7">IF(-SUM(C21:J21, C20:J20)&gt;C19,0,-C19-SUM(C21:J21,C20:J20))</f>
        <v>0</v>
      </c>
      <c r="L20" s="470">
        <f t="shared" si="7"/>
        <v>0</v>
      </c>
      <c r="M20" s="470">
        <f t="shared" si="7"/>
        <v>0</v>
      </c>
      <c r="N20" s="470">
        <f t="shared" si="7"/>
        <v>0</v>
      </c>
      <c r="O20" s="470">
        <f t="shared" si="7"/>
        <v>0</v>
      </c>
      <c r="P20" s="470">
        <f t="shared" si="7"/>
        <v>0</v>
      </c>
      <c r="Q20" s="470">
        <f t="shared" si="7"/>
        <v>0</v>
      </c>
      <c r="R20" s="470">
        <f t="shared" si="7"/>
        <v>0</v>
      </c>
      <c r="S20" s="470">
        <f t="shared" si="7"/>
        <v>0</v>
      </c>
      <c r="T20" s="470">
        <f t="shared" si="7"/>
        <v>0</v>
      </c>
      <c r="U20" s="470">
        <f t="shared" si="7"/>
        <v>0</v>
      </c>
      <c r="V20" s="470">
        <f t="shared" si="7"/>
        <v>0</v>
      </c>
      <c r="W20" s="470">
        <f t="shared" si="7"/>
        <v>0</v>
      </c>
      <c r="X20" s="470">
        <f t="shared" si="7"/>
        <v>0</v>
      </c>
      <c r="Y20" s="470">
        <f t="shared" si="7"/>
        <v>0</v>
      </c>
      <c r="Z20" s="470">
        <f t="shared" si="7"/>
        <v>0</v>
      </c>
      <c r="AA20" s="470">
        <f t="shared" si="7"/>
        <v>0</v>
      </c>
      <c r="AB20" s="470">
        <f t="shared" si="7"/>
        <v>0</v>
      </c>
      <c r="AC20" s="470">
        <f t="shared" si="7"/>
        <v>0</v>
      </c>
      <c r="AD20" s="470">
        <f t="shared" si="7"/>
        <v>0</v>
      </c>
      <c r="AE20" s="470">
        <f t="shared" si="7"/>
        <v>-112.09135634576396</v>
      </c>
      <c r="AF20" s="470">
        <f t="shared" si="7"/>
        <v>-7.2648586804370439</v>
      </c>
    </row>
    <row r="21" spans="1:32">
      <c r="A21" s="13" t="s">
        <v>289</v>
      </c>
      <c r="B21" s="131">
        <f>IF(B16&lt;0,0,IF(B18&gt;B16,-B16,-B18))</f>
        <v>0</v>
      </c>
      <c r="C21" s="131">
        <f t="shared" ref="C21:V21" si="8">IF(C16&lt;0,0,IF(C18&gt;C16,-C16,-C18))</f>
        <v>0</v>
      </c>
      <c r="D21" s="131">
        <f t="shared" si="8"/>
        <v>0</v>
      </c>
      <c r="E21" s="131">
        <f t="shared" si="8"/>
        <v>0</v>
      </c>
      <c r="F21" s="131">
        <f t="shared" si="8"/>
        <v>0</v>
      </c>
      <c r="G21" s="131">
        <f t="shared" si="8"/>
        <v>-44.576132918891425</v>
      </c>
      <c r="H21" s="131">
        <f t="shared" si="8"/>
        <v>-112.92023678240565</v>
      </c>
      <c r="I21" s="131">
        <f t="shared" si="8"/>
        <v>-137.81934299123685</v>
      </c>
      <c r="J21" s="131">
        <f t="shared" si="8"/>
        <v>-166.45354352117471</v>
      </c>
      <c r="K21" s="131">
        <f t="shared" si="8"/>
        <v>-195.87095400726963</v>
      </c>
      <c r="L21" s="131">
        <f t="shared" si="8"/>
        <v>-226.86783990784113</v>
      </c>
      <c r="M21" s="131">
        <f t="shared" si="8"/>
        <v>0</v>
      </c>
      <c r="N21" s="131">
        <f t="shared" si="8"/>
        <v>0</v>
      </c>
      <c r="O21" s="131">
        <f t="shared" si="8"/>
        <v>0</v>
      </c>
      <c r="P21" s="131">
        <f t="shared" si="8"/>
        <v>0</v>
      </c>
      <c r="Q21" s="131">
        <f t="shared" si="8"/>
        <v>0</v>
      </c>
      <c r="R21" s="131">
        <f t="shared" si="8"/>
        <v>0</v>
      </c>
      <c r="S21" s="131">
        <f t="shared" si="8"/>
        <v>0</v>
      </c>
      <c r="T21" s="131">
        <f t="shared" si="8"/>
        <v>0</v>
      </c>
      <c r="U21" s="131">
        <f t="shared" si="8"/>
        <v>0</v>
      </c>
      <c r="V21" s="131">
        <f t="shared" si="8"/>
        <v>0</v>
      </c>
      <c r="W21" s="131">
        <f>IF(W16&lt;0,0,IF(W18&gt;W16,-W16,-W18))</f>
        <v>0</v>
      </c>
      <c r="X21" s="131">
        <f t="shared" ref="X21:AF21" si="9">IF(X16&lt;0,0,IF(X18&gt;X16,-X16,-X18))</f>
        <v>0</v>
      </c>
      <c r="Y21" s="131">
        <f t="shared" si="9"/>
        <v>0</v>
      </c>
      <c r="Z21" s="131">
        <f t="shared" si="9"/>
        <v>0</v>
      </c>
      <c r="AA21" s="131">
        <f t="shared" si="9"/>
        <v>0</v>
      </c>
      <c r="AB21" s="131">
        <f t="shared" si="9"/>
        <v>0</v>
      </c>
      <c r="AC21" s="131">
        <f t="shared" si="9"/>
        <v>0</v>
      </c>
      <c r="AD21" s="131">
        <f t="shared" si="9"/>
        <v>0</v>
      </c>
      <c r="AE21" s="131">
        <f t="shared" si="9"/>
        <v>0</v>
      </c>
      <c r="AF21" s="131">
        <f t="shared" si="9"/>
        <v>0</v>
      </c>
    </row>
    <row r="22" spans="1:32">
      <c r="A22" s="13" t="s">
        <v>75</v>
      </c>
      <c r="B22" s="131">
        <f t="shared" ref="B22:AF22" si="10">SUM(B18:B21)</f>
        <v>129.1225844780765</v>
      </c>
      <c r="C22" s="131">
        <f t="shared" si="10"/>
        <v>442.31379033939049</v>
      </c>
      <c r="D22" s="131">
        <f t="shared" si="10"/>
        <v>669.01131096506333</v>
      </c>
      <c r="E22" s="131">
        <f t="shared" si="10"/>
        <v>815.02046338601986</v>
      </c>
      <c r="F22" s="131">
        <f t="shared" si="10"/>
        <v>884.50805012881938</v>
      </c>
      <c r="G22" s="131">
        <f t="shared" si="10"/>
        <v>839.93191720992797</v>
      </c>
      <c r="H22" s="131">
        <f t="shared" si="10"/>
        <v>727.01168042752238</v>
      </c>
      <c r="I22" s="131">
        <f t="shared" si="10"/>
        <v>589.19233743628547</v>
      </c>
      <c r="J22" s="131">
        <f t="shared" si="10"/>
        <v>422.73879391511076</v>
      </c>
      <c r="K22" s="131">
        <f t="shared" si="10"/>
        <v>226.86783990784113</v>
      </c>
      <c r="L22" s="131">
        <f t="shared" si="10"/>
        <v>0</v>
      </c>
      <c r="M22" s="131">
        <f t="shared" si="10"/>
        <v>0</v>
      </c>
      <c r="N22" s="131">
        <f t="shared" si="10"/>
        <v>0</v>
      </c>
      <c r="O22" s="131">
        <f t="shared" si="10"/>
        <v>0</v>
      </c>
      <c r="P22" s="131">
        <f t="shared" si="10"/>
        <v>0</v>
      </c>
      <c r="Q22" s="131">
        <f t="shared" si="10"/>
        <v>0</v>
      </c>
      <c r="R22" s="131">
        <f t="shared" si="10"/>
        <v>0</v>
      </c>
      <c r="S22" s="131">
        <f t="shared" si="10"/>
        <v>0</v>
      </c>
      <c r="T22" s="131">
        <f t="shared" si="10"/>
        <v>0</v>
      </c>
      <c r="U22" s="131">
        <f t="shared" si="10"/>
        <v>0</v>
      </c>
      <c r="V22" s="131">
        <f t="shared" si="10"/>
        <v>0</v>
      </c>
      <c r="W22" s="131">
        <f t="shared" si="10"/>
        <v>112.09135634576396</v>
      </c>
      <c r="X22" s="131">
        <f t="shared" si="10"/>
        <v>231.44757137196495</v>
      </c>
      <c r="Y22" s="131">
        <f t="shared" si="10"/>
        <v>361.67016164795348</v>
      </c>
      <c r="Z22" s="131">
        <f t="shared" si="10"/>
        <v>503.7170814269324</v>
      </c>
      <c r="AA22" s="131">
        <f t="shared" si="10"/>
        <v>658.59540436434168</v>
      </c>
      <c r="AB22" s="131">
        <f t="shared" si="10"/>
        <v>827.41422869658425</v>
      </c>
      <c r="AC22" s="131">
        <f t="shared" si="10"/>
        <v>1011.3646379761417</v>
      </c>
      <c r="AD22" s="131">
        <f t="shared" si="10"/>
        <v>1211.770486619587</v>
      </c>
      <c r="AE22" s="131">
        <f t="shared" si="10"/>
        <v>1317.9373109134162</v>
      </c>
      <c r="AF22" s="131">
        <f t="shared" si="10"/>
        <v>1551.2053971064765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5">
        <f>IF(B13&lt;0,0,B21+B16)</f>
        <v>0</v>
      </c>
      <c r="C24" s="135">
        <f t="shared" ref="C24:AF24" si="11">IF(C13&lt;0,0,C21+C16)</f>
        <v>0</v>
      </c>
      <c r="D24" s="135">
        <f t="shared" si="11"/>
        <v>0</v>
      </c>
      <c r="E24" s="135">
        <f t="shared" si="11"/>
        <v>0</v>
      </c>
      <c r="F24" s="135">
        <f t="shared" si="11"/>
        <v>0</v>
      </c>
      <c r="G24" s="135">
        <f t="shared" si="11"/>
        <v>0</v>
      </c>
      <c r="H24" s="135">
        <f t="shared" si="11"/>
        <v>0</v>
      </c>
      <c r="I24" s="135">
        <f t="shared" si="11"/>
        <v>0</v>
      </c>
      <c r="J24" s="135">
        <f t="shared" si="11"/>
        <v>0</v>
      </c>
      <c r="K24" s="135">
        <f t="shared" si="11"/>
        <v>0</v>
      </c>
      <c r="L24" s="135">
        <f t="shared" si="11"/>
        <v>2.420100048891868</v>
      </c>
      <c r="M24" s="135">
        <f t="shared" si="11"/>
        <v>263.92028887188701</v>
      </c>
      <c r="N24" s="135">
        <f t="shared" si="11"/>
        <v>303.10990491398945</v>
      </c>
      <c r="O24" s="135">
        <f t="shared" si="11"/>
        <v>343.96453480027208</v>
      </c>
      <c r="P24" s="135">
        <f t="shared" si="11"/>
        <v>389.78161960394192</v>
      </c>
      <c r="Q24" s="135">
        <f t="shared" si="11"/>
        <v>654.13741258989364</v>
      </c>
      <c r="R24" s="135">
        <f t="shared" si="11"/>
        <v>919.22771533522632</v>
      </c>
      <c r="S24" s="135">
        <f t="shared" si="11"/>
        <v>925.61099310532961</v>
      </c>
      <c r="T24" s="135">
        <f t="shared" si="11"/>
        <v>922.98723849586429</v>
      </c>
      <c r="U24" s="135">
        <f t="shared" si="11"/>
        <v>920.29261260006126</v>
      </c>
      <c r="V24" s="135">
        <f t="shared" si="11"/>
        <v>254.87943986860702</v>
      </c>
      <c r="W24" s="135">
        <f t="shared" si="11"/>
        <v>0</v>
      </c>
      <c r="X24" s="135">
        <f t="shared" si="11"/>
        <v>0</v>
      </c>
      <c r="Y24" s="135">
        <f t="shared" si="11"/>
        <v>0</v>
      </c>
      <c r="Z24" s="135">
        <f t="shared" si="11"/>
        <v>0</v>
      </c>
      <c r="AA24" s="135">
        <f t="shared" si="11"/>
        <v>0</v>
      </c>
      <c r="AB24" s="135">
        <f t="shared" si="11"/>
        <v>0</v>
      </c>
      <c r="AC24" s="135">
        <f t="shared" si="11"/>
        <v>0</v>
      </c>
      <c r="AD24" s="135">
        <f t="shared" si="11"/>
        <v>0</v>
      </c>
      <c r="AE24" s="135">
        <f t="shared" si="11"/>
        <v>0</v>
      </c>
      <c r="AF24" s="135">
        <f t="shared" si="11"/>
        <v>0</v>
      </c>
    </row>
    <row r="25" spans="1:32">
      <c r="A25" s="4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7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-1844.6083496868068</v>
      </c>
      <c r="C28" s="19">
        <f t="shared" ref="C28:AF28" si="12">C13</f>
        <v>-4474.160083733057</v>
      </c>
      <c r="D28" s="19">
        <f t="shared" si="12"/>
        <v>-3238.5360089381829</v>
      </c>
      <c r="E28" s="19">
        <f t="shared" si="12"/>
        <v>-2085.8450345850924</v>
      </c>
      <c r="F28" s="19">
        <f t="shared" si="12"/>
        <v>-992.679810611422</v>
      </c>
      <c r="G28" s="19">
        <f t="shared" si="12"/>
        <v>636.80189884130596</v>
      </c>
      <c r="H28" s="19">
        <f t="shared" si="12"/>
        <v>1613.1462397486521</v>
      </c>
      <c r="I28" s="19">
        <f t="shared" si="12"/>
        <v>1968.8477570176692</v>
      </c>
      <c r="J28" s="19">
        <f t="shared" si="12"/>
        <v>2377.9077645882098</v>
      </c>
      <c r="K28" s="19">
        <f t="shared" si="12"/>
        <v>2798.1564858181373</v>
      </c>
      <c r="L28" s="19">
        <f t="shared" si="12"/>
        <v>3275.5419993818996</v>
      </c>
      <c r="M28" s="19">
        <f t="shared" si="12"/>
        <v>3770.2898410269572</v>
      </c>
      <c r="N28" s="19">
        <f t="shared" si="12"/>
        <v>4330.1414987712778</v>
      </c>
      <c r="O28" s="19">
        <f t="shared" si="12"/>
        <v>4913.7790685753153</v>
      </c>
      <c r="P28" s="19">
        <f t="shared" si="12"/>
        <v>5568.3088514848841</v>
      </c>
      <c r="Q28" s="19">
        <f t="shared" si="12"/>
        <v>9344.820179855622</v>
      </c>
      <c r="R28" s="19">
        <f t="shared" si="12"/>
        <v>13131.824504788947</v>
      </c>
      <c r="S28" s="19">
        <f t="shared" si="12"/>
        <v>13223.014187218992</v>
      </c>
      <c r="T28" s="19">
        <f t="shared" si="12"/>
        <v>13185.531978512347</v>
      </c>
      <c r="U28" s="19">
        <f t="shared" si="12"/>
        <v>13147.037322858017</v>
      </c>
      <c r="V28" s="19">
        <f t="shared" si="12"/>
        <v>3641.1348552658142</v>
      </c>
      <c r="W28" s="19">
        <f t="shared" si="12"/>
        <v>-1601.3050906537705</v>
      </c>
      <c r="X28" s="19">
        <f t="shared" si="12"/>
        <v>-1705.0887860885855</v>
      </c>
      <c r="Y28" s="19">
        <f t="shared" si="12"/>
        <v>-1860.3227182284068</v>
      </c>
      <c r="Z28" s="19">
        <f t="shared" si="12"/>
        <v>-2029.2417111282698</v>
      </c>
      <c r="AA28" s="19">
        <f t="shared" si="12"/>
        <v>-2212.5474705344172</v>
      </c>
      <c r="AB28" s="19">
        <f t="shared" si="12"/>
        <v>-2411.6974904606082</v>
      </c>
      <c r="AC28" s="19">
        <f t="shared" si="12"/>
        <v>-2627.8629897079632</v>
      </c>
      <c r="AD28" s="19">
        <f t="shared" si="12"/>
        <v>-2862.9406949063618</v>
      </c>
      <c r="AE28" s="19">
        <f t="shared" si="12"/>
        <v>-3117.9740091370436</v>
      </c>
      <c r="AF28" s="19">
        <f t="shared" si="12"/>
        <v>-3436.1849267642474</v>
      </c>
    </row>
    <row r="29" spans="1:32" ht="15">
      <c r="A29" s="21" t="s">
        <v>77</v>
      </c>
      <c r="B29" s="133">
        <f>-B24</f>
        <v>0</v>
      </c>
      <c r="C29" s="133">
        <f t="shared" ref="C29:AF29" si="13">-C24</f>
        <v>0</v>
      </c>
      <c r="D29" s="133">
        <f t="shared" si="13"/>
        <v>0</v>
      </c>
      <c r="E29" s="133">
        <f t="shared" si="13"/>
        <v>0</v>
      </c>
      <c r="F29" s="133">
        <f t="shared" si="13"/>
        <v>0</v>
      </c>
      <c r="G29" s="133">
        <f t="shared" si="13"/>
        <v>0</v>
      </c>
      <c r="H29" s="133">
        <f t="shared" si="13"/>
        <v>0</v>
      </c>
      <c r="I29" s="133">
        <f t="shared" si="13"/>
        <v>0</v>
      </c>
      <c r="J29" s="133">
        <f t="shared" si="13"/>
        <v>0</v>
      </c>
      <c r="K29" s="133">
        <f t="shared" si="13"/>
        <v>0</v>
      </c>
      <c r="L29" s="133">
        <f t="shared" si="13"/>
        <v>-2.420100048891868</v>
      </c>
      <c r="M29" s="133">
        <f t="shared" si="13"/>
        <v>-263.92028887188701</v>
      </c>
      <c r="N29" s="133">
        <f t="shared" si="13"/>
        <v>-303.10990491398945</v>
      </c>
      <c r="O29" s="133">
        <f t="shared" si="13"/>
        <v>-343.96453480027208</v>
      </c>
      <c r="P29" s="133">
        <f t="shared" si="13"/>
        <v>-389.78161960394192</v>
      </c>
      <c r="Q29" s="133">
        <f t="shared" si="13"/>
        <v>-654.13741258989364</v>
      </c>
      <c r="R29" s="133">
        <f t="shared" si="13"/>
        <v>-919.22771533522632</v>
      </c>
      <c r="S29" s="133">
        <f t="shared" si="13"/>
        <v>-925.61099310532961</v>
      </c>
      <c r="T29" s="133">
        <f t="shared" si="13"/>
        <v>-922.98723849586429</v>
      </c>
      <c r="U29" s="133">
        <f t="shared" si="13"/>
        <v>-920.29261260006126</v>
      </c>
      <c r="V29" s="133">
        <f t="shared" si="13"/>
        <v>-254.87943986860702</v>
      </c>
      <c r="W29" s="133">
        <f t="shared" si="13"/>
        <v>0</v>
      </c>
      <c r="X29" s="133">
        <f t="shared" si="13"/>
        <v>0</v>
      </c>
      <c r="Y29" s="133">
        <f t="shared" si="13"/>
        <v>0</v>
      </c>
      <c r="Z29" s="133">
        <f t="shared" si="13"/>
        <v>0</v>
      </c>
      <c r="AA29" s="133">
        <f t="shared" si="13"/>
        <v>0</v>
      </c>
      <c r="AB29" s="133">
        <f t="shared" si="13"/>
        <v>0</v>
      </c>
      <c r="AC29" s="133">
        <f t="shared" si="13"/>
        <v>0</v>
      </c>
      <c r="AD29" s="133">
        <f t="shared" si="13"/>
        <v>0</v>
      </c>
      <c r="AE29" s="133">
        <f t="shared" si="13"/>
        <v>0</v>
      </c>
      <c r="AF29" s="133">
        <f t="shared" si="13"/>
        <v>0</v>
      </c>
    </row>
    <row r="30" spans="1:32">
      <c r="A30" s="128" t="s">
        <v>213</v>
      </c>
      <c r="B30" s="44">
        <f t="shared" ref="B30:AF30" si="14">SUM(B28:B29)</f>
        <v>-1844.6083496868068</v>
      </c>
      <c r="C30" s="44">
        <f t="shared" si="14"/>
        <v>-4474.160083733057</v>
      </c>
      <c r="D30" s="44">
        <f t="shared" si="14"/>
        <v>-3238.5360089381829</v>
      </c>
      <c r="E30" s="44">
        <f t="shared" si="14"/>
        <v>-2085.8450345850924</v>
      </c>
      <c r="F30" s="44">
        <f t="shared" si="14"/>
        <v>-992.679810611422</v>
      </c>
      <c r="G30" s="44">
        <f t="shared" si="14"/>
        <v>636.80189884130596</v>
      </c>
      <c r="H30" s="44">
        <f t="shared" si="14"/>
        <v>1613.1462397486521</v>
      </c>
      <c r="I30" s="44">
        <f t="shared" si="14"/>
        <v>1968.8477570176692</v>
      </c>
      <c r="J30" s="44">
        <f t="shared" si="14"/>
        <v>2377.9077645882098</v>
      </c>
      <c r="K30" s="44">
        <f t="shared" si="14"/>
        <v>2798.1564858181373</v>
      </c>
      <c r="L30" s="44">
        <f t="shared" si="14"/>
        <v>3273.1218993330076</v>
      </c>
      <c r="M30" s="44">
        <f t="shared" si="14"/>
        <v>3506.3695521550703</v>
      </c>
      <c r="N30" s="44">
        <f t="shared" si="14"/>
        <v>4027.0315938572885</v>
      </c>
      <c r="O30" s="44">
        <f t="shared" si="14"/>
        <v>4569.8145337750429</v>
      </c>
      <c r="P30" s="44">
        <f t="shared" si="14"/>
        <v>5178.5272318809421</v>
      </c>
      <c r="Q30" s="44">
        <f t="shared" si="14"/>
        <v>8690.6827672657291</v>
      </c>
      <c r="R30" s="44">
        <f t="shared" si="14"/>
        <v>12212.596789453721</v>
      </c>
      <c r="S30" s="44">
        <f t="shared" si="14"/>
        <v>12297.403194113664</v>
      </c>
      <c r="T30" s="44">
        <f t="shared" si="14"/>
        <v>12262.544740016483</v>
      </c>
      <c r="U30" s="44">
        <f t="shared" si="14"/>
        <v>12226.744710257955</v>
      </c>
      <c r="V30" s="44">
        <f t="shared" si="14"/>
        <v>3386.2554153972073</v>
      </c>
      <c r="W30" s="44">
        <f t="shared" si="14"/>
        <v>-1601.3050906537705</v>
      </c>
      <c r="X30" s="44">
        <f t="shared" si="14"/>
        <v>-1705.0887860885855</v>
      </c>
      <c r="Y30" s="44">
        <f t="shared" si="14"/>
        <v>-1860.3227182284068</v>
      </c>
      <c r="Z30" s="44">
        <f t="shared" si="14"/>
        <v>-2029.2417111282698</v>
      </c>
      <c r="AA30" s="44">
        <f t="shared" si="14"/>
        <v>-2212.5474705344172</v>
      </c>
      <c r="AB30" s="44">
        <f t="shared" si="14"/>
        <v>-2411.6974904606082</v>
      </c>
      <c r="AC30" s="44">
        <f t="shared" si="14"/>
        <v>-2627.8629897079632</v>
      </c>
      <c r="AD30" s="44">
        <f t="shared" si="14"/>
        <v>-2862.9406949063618</v>
      </c>
      <c r="AE30" s="44">
        <f t="shared" si="14"/>
        <v>-3117.9740091370436</v>
      </c>
      <c r="AF30" s="44">
        <f t="shared" si="14"/>
        <v>-3436.1849267642474</v>
      </c>
    </row>
    <row r="31" spans="1:32">
      <c r="A31" s="12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4">
        <f>Assumptions!$N$50</f>
        <v>0.35</v>
      </c>
      <c r="C32" s="134">
        <f>Assumptions!$N$50</f>
        <v>0.35</v>
      </c>
      <c r="D32" s="134">
        <f>Assumptions!$N$50</f>
        <v>0.35</v>
      </c>
      <c r="E32" s="134">
        <f>Assumptions!$N$50</f>
        <v>0.35</v>
      </c>
      <c r="F32" s="134">
        <f>Assumptions!$N$50</f>
        <v>0.35</v>
      </c>
      <c r="G32" s="134">
        <f>Assumptions!$N$50</f>
        <v>0.35</v>
      </c>
      <c r="H32" s="134">
        <f>Assumptions!$N$50</f>
        <v>0.35</v>
      </c>
      <c r="I32" s="134">
        <f>Assumptions!$N$50</f>
        <v>0.35</v>
      </c>
      <c r="J32" s="134">
        <f>Assumptions!$N$50</f>
        <v>0.35</v>
      </c>
      <c r="K32" s="134">
        <f>Assumptions!$N$50</f>
        <v>0.35</v>
      </c>
      <c r="L32" s="134">
        <f>Assumptions!$N$50</f>
        <v>0.35</v>
      </c>
      <c r="M32" s="134">
        <f>Assumptions!$N$50</f>
        <v>0.35</v>
      </c>
      <c r="N32" s="134">
        <f>Assumptions!$N$50</f>
        <v>0.35</v>
      </c>
      <c r="O32" s="134">
        <f>Assumptions!$N$50</f>
        <v>0.35</v>
      </c>
      <c r="P32" s="134">
        <f>Assumptions!$N$50</f>
        <v>0.35</v>
      </c>
      <c r="Q32" s="134">
        <f>Assumptions!$N$50</f>
        <v>0.35</v>
      </c>
      <c r="R32" s="134">
        <f>Assumptions!$N$50</f>
        <v>0.35</v>
      </c>
      <c r="S32" s="134">
        <f>Assumptions!$N$50</f>
        <v>0.35</v>
      </c>
      <c r="T32" s="134">
        <f>Assumptions!$N$50</f>
        <v>0.35</v>
      </c>
      <c r="U32" s="134">
        <f>Assumptions!$N$50</f>
        <v>0.35</v>
      </c>
      <c r="V32" s="134">
        <f>Assumptions!$N$50</f>
        <v>0.35</v>
      </c>
      <c r="W32" s="134">
        <f>Assumptions!$N$50</f>
        <v>0.35</v>
      </c>
      <c r="X32" s="134">
        <f>Assumptions!$N$50</f>
        <v>0.35</v>
      </c>
      <c r="Y32" s="134">
        <f>Assumptions!$N$50</f>
        <v>0.35</v>
      </c>
      <c r="Z32" s="134">
        <f>Assumptions!$N$50</f>
        <v>0.35</v>
      </c>
      <c r="AA32" s="134">
        <f>Assumptions!$N$50</f>
        <v>0.35</v>
      </c>
      <c r="AB32" s="134">
        <f>Assumptions!$N$50</f>
        <v>0.35</v>
      </c>
      <c r="AC32" s="134">
        <f>Assumptions!$N$50</f>
        <v>0.35</v>
      </c>
      <c r="AD32" s="134">
        <f>Assumptions!$N$50</f>
        <v>0.35</v>
      </c>
      <c r="AE32" s="134">
        <f>Assumptions!$N$50</f>
        <v>0.35</v>
      </c>
      <c r="AF32" s="134">
        <f>Assumptions!$N$50</f>
        <v>0.35</v>
      </c>
    </row>
    <row r="33" spans="1:32">
      <c r="A33" s="21" t="s">
        <v>79</v>
      </c>
      <c r="B33" s="19">
        <f>B30*B32</f>
        <v>-645.61292239038232</v>
      </c>
      <c r="C33" s="19">
        <f t="shared" ref="C33:W33" si="15">C30*C32</f>
        <v>-1565.9560293065699</v>
      </c>
      <c r="D33" s="19">
        <f t="shared" si="15"/>
        <v>-1133.4876031283638</v>
      </c>
      <c r="E33" s="19">
        <f t="shared" si="15"/>
        <v>-730.04576210478228</v>
      </c>
      <c r="F33" s="19">
        <f t="shared" si="15"/>
        <v>-347.43793371399767</v>
      </c>
      <c r="G33" s="19">
        <f t="shared" si="15"/>
        <v>222.88066459445707</v>
      </c>
      <c r="H33" s="19">
        <f t="shared" si="15"/>
        <v>564.6011839120282</v>
      </c>
      <c r="I33" s="19">
        <f t="shared" si="15"/>
        <v>689.0967149561842</v>
      </c>
      <c r="J33" s="19">
        <f t="shared" si="15"/>
        <v>832.26771760587337</v>
      </c>
      <c r="K33" s="19">
        <f t="shared" si="15"/>
        <v>979.35477003634799</v>
      </c>
      <c r="L33" s="19">
        <f t="shared" si="15"/>
        <v>1145.5926647665526</v>
      </c>
      <c r="M33" s="19">
        <f t="shared" si="15"/>
        <v>1227.2293432542745</v>
      </c>
      <c r="N33" s="19">
        <f t="shared" si="15"/>
        <v>1409.4610578500508</v>
      </c>
      <c r="O33" s="19">
        <f t="shared" si="15"/>
        <v>1599.435086821265</v>
      </c>
      <c r="P33" s="19">
        <f t="shared" si="15"/>
        <v>1812.4845311583297</v>
      </c>
      <c r="Q33" s="19">
        <f t="shared" si="15"/>
        <v>3041.7389685430048</v>
      </c>
      <c r="R33" s="19">
        <f t="shared" si="15"/>
        <v>4274.4088763088021</v>
      </c>
      <c r="S33" s="19">
        <f t="shared" si="15"/>
        <v>4304.0911179397817</v>
      </c>
      <c r="T33" s="19">
        <f t="shared" si="15"/>
        <v>4291.8906590057686</v>
      </c>
      <c r="U33" s="19">
        <f t="shared" si="15"/>
        <v>4279.3606485902837</v>
      </c>
      <c r="V33" s="19">
        <f t="shared" si="15"/>
        <v>1185.1893953890226</v>
      </c>
      <c r="W33" s="19">
        <f t="shared" si="15"/>
        <v>-560.45678172881969</v>
      </c>
      <c r="X33" s="19">
        <f t="shared" ref="X33:AF33" si="16">X30*X32</f>
        <v>-596.78107513100485</v>
      </c>
      <c r="Y33" s="19">
        <f t="shared" si="16"/>
        <v>-651.11295137994227</v>
      </c>
      <c r="Z33" s="19">
        <f t="shared" si="16"/>
        <v>-710.23459889489436</v>
      </c>
      <c r="AA33" s="19">
        <f t="shared" si="16"/>
        <v>-774.39161468704594</v>
      </c>
      <c r="AB33" s="19">
        <f t="shared" si="16"/>
        <v>-844.09412166121285</v>
      </c>
      <c r="AC33" s="19">
        <f t="shared" si="16"/>
        <v>-919.75204639778701</v>
      </c>
      <c r="AD33" s="19">
        <f t="shared" si="16"/>
        <v>-1002.0292432172266</v>
      </c>
      <c r="AE33" s="19">
        <f t="shared" si="16"/>
        <v>-1091.2909031979652</v>
      </c>
      <c r="AF33" s="19">
        <f t="shared" si="16"/>
        <v>-1202.6647243674865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645.61292239038232</v>
      </c>
      <c r="D35" s="19">
        <f t="shared" si="17"/>
        <v>2211.5689516969524</v>
      </c>
      <c r="E35" s="19">
        <f t="shared" si="17"/>
        <v>3345.0565548253162</v>
      </c>
      <c r="F35" s="19">
        <f t="shared" si="17"/>
        <v>4075.1023169300984</v>
      </c>
      <c r="G35" s="19">
        <f t="shared" si="17"/>
        <v>4422.540250644096</v>
      </c>
      <c r="H35" s="19">
        <f t="shared" si="17"/>
        <v>4199.6595860496391</v>
      </c>
      <c r="I35" s="19">
        <f t="shared" si="17"/>
        <v>3635.0584021376108</v>
      </c>
      <c r="J35" s="19">
        <f t="shared" si="17"/>
        <v>2945.9616871814264</v>
      </c>
      <c r="K35" s="19">
        <f t="shared" si="17"/>
        <v>2113.6939695755532</v>
      </c>
      <c r="L35" s="19">
        <f t="shared" si="17"/>
        <v>1134.3391995392053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560.45678172881969</v>
      </c>
      <c r="Y35" s="19">
        <f t="shared" si="18"/>
        <v>1157.2378568598247</v>
      </c>
      <c r="Z35" s="19">
        <f t="shared" si="18"/>
        <v>1808.350808239767</v>
      </c>
      <c r="AA35" s="19">
        <f t="shared" si="18"/>
        <v>2518.5854071346612</v>
      </c>
      <c r="AB35" s="19">
        <f t="shared" si="18"/>
        <v>3292.9770218217072</v>
      </c>
      <c r="AC35" s="19">
        <f t="shared" si="18"/>
        <v>4137.07114348292</v>
      </c>
      <c r="AD35" s="19">
        <f t="shared" si="18"/>
        <v>5056.8231898807071</v>
      </c>
      <c r="AE35" s="19">
        <f t="shared" si="18"/>
        <v>6058.8524330979335</v>
      </c>
      <c r="AF35" s="19">
        <f t="shared" si="18"/>
        <v>7150.1433362958987</v>
      </c>
    </row>
    <row r="36" spans="1:32">
      <c r="A36" s="21" t="s">
        <v>74</v>
      </c>
      <c r="B36" s="138">
        <f>IF(B33&lt;0,-B33,0)</f>
        <v>645.61292239038232</v>
      </c>
      <c r="C36" s="138">
        <f t="shared" ref="C36:AF36" si="19">IF(C33&lt;0,-C33,0)</f>
        <v>1565.9560293065699</v>
      </c>
      <c r="D36" s="138">
        <f t="shared" si="19"/>
        <v>1133.4876031283638</v>
      </c>
      <c r="E36" s="138">
        <f t="shared" si="19"/>
        <v>730.04576210478228</v>
      </c>
      <c r="F36" s="138">
        <f t="shared" si="19"/>
        <v>347.43793371399767</v>
      </c>
      <c r="G36" s="138">
        <f t="shared" si="19"/>
        <v>0</v>
      </c>
      <c r="H36" s="138">
        <f t="shared" si="19"/>
        <v>0</v>
      </c>
      <c r="I36" s="138">
        <f t="shared" si="19"/>
        <v>0</v>
      </c>
      <c r="J36" s="138">
        <f t="shared" si="19"/>
        <v>0</v>
      </c>
      <c r="K36" s="138">
        <f t="shared" si="19"/>
        <v>0</v>
      </c>
      <c r="L36" s="138">
        <f t="shared" si="19"/>
        <v>0</v>
      </c>
      <c r="M36" s="138">
        <f t="shared" si="19"/>
        <v>0</v>
      </c>
      <c r="N36" s="138">
        <f t="shared" si="19"/>
        <v>0</v>
      </c>
      <c r="O36" s="138">
        <f t="shared" si="19"/>
        <v>0</v>
      </c>
      <c r="P36" s="138">
        <f t="shared" si="19"/>
        <v>0</v>
      </c>
      <c r="Q36" s="138">
        <f t="shared" si="19"/>
        <v>0</v>
      </c>
      <c r="R36" s="138">
        <f t="shared" si="19"/>
        <v>0</v>
      </c>
      <c r="S36" s="138">
        <f t="shared" si="19"/>
        <v>0</v>
      </c>
      <c r="T36" s="138">
        <f t="shared" si="19"/>
        <v>0</v>
      </c>
      <c r="U36" s="138">
        <f t="shared" si="19"/>
        <v>0</v>
      </c>
      <c r="V36" s="138">
        <f t="shared" si="19"/>
        <v>0</v>
      </c>
      <c r="W36" s="138">
        <f t="shared" si="19"/>
        <v>560.45678172881969</v>
      </c>
      <c r="X36" s="138">
        <f t="shared" si="19"/>
        <v>596.78107513100485</v>
      </c>
      <c r="Y36" s="138">
        <f t="shared" si="19"/>
        <v>651.11295137994227</v>
      </c>
      <c r="Z36" s="138">
        <f t="shared" si="19"/>
        <v>710.23459889489436</v>
      </c>
      <c r="AA36" s="138">
        <f t="shared" si="19"/>
        <v>774.39161468704594</v>
      </c>
      <c r="AB36" s="138">
        <f t="shared" si="19"/>
        <v>844.09412166121285</v>
      </c>
      <c r="AC36" s="138">
        <f t="shared" si="19"/>
        <v>919.75204639778701</v>
      </c>
      <c r="AD36" s="138">
        <f t="shared" si="19"/>
        <v>1002.0292432172266</v>
      </c>
      <c r="AE36" s="138">
        <f t="shared" si="19"/>
        <v>1091.2909031979652</v>
      </c>
      <c r="AF36" s="138">
        <f t="shared" si="19"/>
        <v>1202.6647243674865</v>
      </c>
    </row>
    <row r="37" spans="1:32">
      <c r="A37" s="13" t="s">
        <v>290</v>
      </c>
      <c r="B37" s="467">
        <v>0</v>
      </c>
      <c r="C37" s="468">
        <v>0</v>
      </c>
      <c r="D37" s="468">
        <v>0</v>
      </c>
      <c r="E37" s="468">
        <v>0</v>
      </c>
      <c r="F37" s="468">
        <v>0</v>
      </c>
      <c r="G37" s="468">
        <v>0</v>
      </c>
      <c r="H37" s="468">
        <v>0</v>
      </c>
      <c r="I37" s="468">
        <v>0</v>
      </c>
      <c r="J37" s="468">
        <v>0</v>
      </c>
      <c r="K37" s="468">
        <v>0</v>
      </c>
      <c r="L37" s="468">
        <v>0</v>
      </c>
      <c r="M37" s="468">
        <v>0</v>
      </c>
      <c r="N37" s="468">
        <v>0</v>
      </c>
      <c r="O37" s="468">
        <v>0</v>
      </c>
      <c r="P37" s="469">
        <v>0</v>
      </c>
      <c r="Q37" s="470">
        <f>IF(-SUM(B38:P38, B37:P37)&gt;B36,0,-B36-SUM(B38:P38,B37:P37))</f>
        <v>0</v>
      </c>
      <c r="R37" s="470">
        <f t="shared" ref="R37:AF37" si="20">IF(-SUM(C38:Q38, C37:Q37)&gt;C36,0,-C36-SUM(C38:Q38,C37:Q37))</f>
        <v>0</v>
      </c>
      <c r="S37" s="470">
        <f t="shared" si="20"/>
        <v>0</v>
      </c>
      <c r="T37" s="470">
        <f t="shared" si="20"/>
        <v>0</v>
      </c>
      <c r="U37" s="470">
        <f t="shared" si="20"/>
        <v>0</v>
      </c>
      <c r="V37" s="470">
        <f t="shared" si="20"/>
        <v>0</v>
      </c>
      <c r="W37" s="470">
        <f t="shared" si="20"/>
        <v>0</v>
      </c>
      <c r="X37" s="470">
        <f t="shared" si="20"/>
        <v>0</v>
      </c>
      <c r="Y37" s="470">
        <f t="shared" si="20"/>
        <v>0</v>
      </c>
      <c r="Z37" s="470">
        <f t="shared" si="20"/>
        <v>0</v>
      </c>
      <c r="AA37" s="470">
        <f t="shared" si="20"/>
        <v>0</v>
      </c>
      <c r="AB37" s="470">
        <f t="shared" si="20"/>
        <v>0</v>
      </c>
      <c r="AC37" s="470">
        <f t="shared" si="20"/>
        <v>0</v>
      </c>
      <c r="AD37" s="470">
        <f t="shared" si="20"/>
        <v>0</v>
      </c>
      <c r="AE37" s="470">
        <f t="shared" si="20"/>
        <v>0</v>
      </c>
      <c r="AF37" s="470">
        <f t="shared" si="20"/>
        <v>0</v>
      </c>
    </row>
    <row r="38" spans="1:32">
      <c r="A38" s="13" t="s">
        <v>291</v>
      </c>
      <c r="B38" s="131">
        <f>IF(B33&lt;0,0,IF(B35&gt;B33,-B33,-B35))</f>
        <v>0</v>
      </c>
      <c r="C38" s="131">
        <f t="shared" ref="C38:V38" si="21">IF(C33&lt;0,0,IF(C35&gt;C33,-C33,-C35))</f>
        <v>0</v>
      </c>
      <c r="D38" s="131">
        <f t="shared" si="21"/>
        <v>0</v>
      </c>
      <c r="E38" s="131">
        <f t="shared" si="21"/>
        <v>0</v>
      </c>
      <c r="F38" s="131">
        <f t="shared" si="21"/>
        <v>0</v>
      </c>
      <c r="G38" s="131">
        <f t="shared" si="21"/>
        <v>-222.88066459445707</v>
      </c>
      <c r="H38" s="131">
        <f t="shared" si="21"/>
        <v>-564.6011839120282</v>
      </c>
      <c r="I38" s="131">
        <f t="shared" si="21"/>
        <v>-689.0967149561842</v>
      </c>
      <c r="J38" s="131">
        <f t="shared" si="21"/>
        <v>-832.26771760587337</v>
      </c>
      <c r="K38" s="131">
        <f t="shared" si="21"/>
        <v>-979.35477003634799</v>
      </c>
      <c r="L38" s="131">
        <f t="shared" si="21"/>
        <v>-1134.3391995392053</v>
      </c>
      <c r="M38" s="131">
        <f t="shared" si="21"/>
        <v>0</v>
      </c>
      <c r="N38" s="131">
        <f t="shared" si="21"/>
        <v>0</v>
      </c>
      <c r="O38" s="131">
        <f t="shared" si="21"/>
        <v>0</v>
      </c>
      <c r="P38" s="131">
        <f t="shared" si="21"/>
        <v>0</v>
      </c>
      <c r="Q38" s="131">
        <f t="shared" si="21"/>
        <v>0</v>
      </c>
      <c r="R38" s="131">
        <f t="shared" si="21"/>
        <v>0</v>
      </c>
      <c r="S38" s="131">
        <f t="shared" si="21"/>
        <v>0</v>
      </c>
      <c r="T38" s="131">
        <f t="shared" si="21"/>
        <v>0</v>
      </c>
      <c r="U38" s="131">
        <f t="shared" si="21"/>
        <v>0</v>
      </c>
      <c r="V38" s="131">
        <f t="shared" si="21"/>
        <v>0</v>
      </c>
      <c r="W38" s="131">
        <f>IF(W33&lt;0,0,IF(W35&gt;W33,-W33,-W35))</f>
        <v>0</v>
      </c>
      <c r="X38" s="131">
        <f t="shared" ref="X38:AF38" si="22">IF(X33&lt;0,0,IF(X35&gt;X33,-X33,-X35))</f>
        <v>0</v>
      </c>
      <c r="Y38" s="131">
        <f t="shared" si="22"/>
        <v>0</v>
      </c>
      <c r="Z38" s="131">
        <f t="shared" si="22"/>
        <v>0</v>
      </c>
      <c r="AA38" s="131">
        <f t="shared" si="22"/>
        <v>0</v>
      </c>
      <c r="AB38" s="131">
        <f t="shared" si="22"/>
        <v>0</v>
      </c>
      <c r="AC38" s="131">
        <f t="shared" si="22"/>
        <v>0</v>
      </c>
      <c r="AD38" s="131">
        <f t="shared" si="22"/>
        <v>0</v>
      </c>
      <c r="AE38" s="131">
        <f t="shared" si="22"/>
        <v>0</v>
      </c>
      <c r="AF38" s="131">
        <f t="shared" si="22"/>
        <v>0</v>
      </c>
    </row>
    <row r="39" spans="1:32">
      <c r="A39" s="13" t="s">
        <v>75</v>
      </c>
      <c r="B39" s="131">
        <f t="shared" ref="B39:AF39" si="23">SUM(B35:B38)</f>
        <v>645.61292239038232</v>
      </c>
      <c r="C39" s="131">
        <f t="shared" si="23"/>
        <v>2211.5689516969524</v>
      </c>
      <c r="D39" s="131">
        <f t="shared" si="23"/>
        <v>3345.0565548253162</v>
      </c>
      <c r="E39" s="131">
        <f t="shared" si="23"/>
        <v>4075.1023169300984</v>
      </c>
      <c r="F39" s="131">
        <f t="shared" si="23"/>
        <v>4422.540250644096</v>
      </c>
      <c r="G39" s="131">
        <f t="shared" si="23"/>
        <v>4199.6595860496391</v>
      </c>
      <c r="H39" s="131">
        <f t="shared" si="23"/>
        <v>3635.0584021376108</v>
      </c>
      <c r="I39" s="131">
        <f t="shared" si="23"/>
        <v>2945.9616871814264</v>
      </c>
      <c r="J39" s="131">
        <f t="shared" si="23"/>
        <v>2113.6939695755532</v>
      </c>
      <c r="K39" s="131">
        <f t="shared" si="23"/>
        <v>1134.3391995392053</v>
      </c>
      <c r="L39" s="131">
        <f t="shared" si="23"/>
        <v>0</v>
      </c>
      <c r="M39" s="131">
        <f t="shared" si="23"/>
        <v>0</v>
      </c>
      <c r="N39" s="131">
        <f t="shared" si="23"/>
        <v>0</v>
      </c>
      <c r="O39" s="131">
        <f t="shared" si="23"/>
        <v>0</v>
      </c>
      <c r="P39" s="131">
        <f t="shared" si="23"/>
        <v>0</v>
      </c>
      <c r="Q39" s="131">
        <f t="shared" si="23"/>
        <v>0</v>
      </c>
      <c r="R39" s="131">
        <f t="shared" si="23"/>
        <v>0</v>
      </c>
      <c r="S39" s="131">
        <f t="shared" si="23"/>
        <v>0</v>
      </c>
      <c r="T39" s="131">
        <f t="shared" si="23"/>
        <v>0</v>
      </c>
      <c r="U39" s="131">
        <f t="shared" si="23"/>
        <v>0</v>
      </c>
      <c r="V39" s="131">
        <f t="shared" si="23"/>
        <v>0</v>
      </c>
      <c r="W39" s="131">
        <f t="shared" si="23"/>
        <v>560.45678172881969</v>
      </c>
      <c r="X39" s="131">
        <f t="shared" si="23"/>
        <v>1157.2378568598247</v>
      </c>
      <c r="Y39" s="131">
        <f t="shared" si="23"/>
        <v>1808.350808239767</v>
      </c>
      <c r="Z39" s="131">
        <f t="shared" si="23"/>
        <v>2518.5854071346612</v>
      </c>
      <c r="AA39" s="131">
        <f t="shared" si="23"/>
        <v>3292.9770218217072</v>
      </c>
      <c r="AB39" s="131">
        <f t="shared" si="23"/>
        <v>4137.07114348292</v>
      </c>
      <c r="AC39" s="131">
        <f t="shared" si="23"/>
        <v>5056.8231898807071</v>
      </c>
      <c r="AD39" s="131">
        <f t="shared" si="23"/>
        <v>6058.8524330979335</v>
      </c>
      <c r="AE39" s="131">
        <f t="shared" si="23"/>
        <v>7150.1433362958987</v>
      </c>
      <c r="AF39" s="131">
        <f t="shared" si="23"/>
        <v>8352.8080606633848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5">
        <f>IF(B30&lt;0,0,B38+B33)</f>
        <v>0</v>
      </c>
      <c r="C41" s="135">
        <f t="shared" ref="C41:AF41" si="24">IF(C30&lt;0,0,C38+C33)</f>
        <v>0</v>
      </c>
      <c r="D41" s="135">
        <f t="shared" si="24"/>
        <v>0</v>
      </c>
      <c r="E41" s="135">
        <f t="shared" si="24"/>
        <v>0</v>
      </c>
      <c r="F41" s="135">
        <f t="shared" si="24"/>
        <v>0</v>
      </c>
      <c r="G41" s="135">
        <f t="shared" si="24"/>
        <v>0</v>
      </c>
      <c r="H41" s="135">
        <f t="shared" si="24"/>
        <v>0</v>
      </c>
      <c r="I41" s="135">
        <f t="shared" si="24"/>
        <v>0</v>
      </c>
      <c r="J41" s="135">
        <f t="shared" si="24"/>
        <v>0</v>
      </c>
      <c r="K41" s="135">
        <f t="shared" si="24"/>
        <v>0</v>
      </c>
      <c r="L41" s="135">
        <f t="shared" si="24"/>
        <v>11.253465227347306</v>
      </c>
      <c r="M41" s="135">
        <f t="shared" si="24"/>
        <v>1227.2293432542745</v>
      </c>
      <c r="N41" s="135">
        <f t="shared" si="24"/>
        <v>1409.4610578500508</v>
      </c>
      <c r="O41" s="135">
        <f t="shared" si="24"/>
        <v>1599.435086821265</v>
      </c>
      <c r="P41" s="135">
        <f t="shared" si="24"/>
        <v>1812.4845311583297</v>
      </c>
      <c r="Q41" s="135">
        <f t="shared" si="24"/>
        <v>3041.7389685430048</v>
      </c>
      <c r="R41" s="135">
        <f t="shared" si="24"/>
        <v>4274.4088763088021</v>
      </c>
      <c r="S41" s="135">
        <f t="shared" si="24"/>
        <v>4304.0911179397817</v>
      </c>
      <c r="T41" s="135">
        <f t="shared" si="24"/>
        <v>4291.8906590057686</v>
      </c>
      <c r="U41" s="135">
        <f t="shared" si="24"/>
        <v>4279.3606485902837</v>
      </c>
      <c r="V41" s="135">
        <f t="shared" si="24"/>
        <v>1185.1893953890226</v>
      </c>
      <c r="W41" s="135">
        <f t="shared" si="24"/>
        <v>0</v>
      </c>
      <c r="X41" s="135">
        <f t="shared" si="24"/>
        <v>0</v>
      </c>
      <c r="Y41" s="135">
        <f t="shared" si="24"/>
        <v>0</v>
      </c>
      <c r="Z41" s="135">
        <f t="shared" si="24"/>
        <v>0</v>
      </c>
      <c r="AA41" s="135">
        <f t="shared" si="24"/>
        <v>0</v>
      </c>
      <c r="AB41" s="135">
        <f t="shared" si="24"/>
        <v>0</v>
      </c>
      <c r="AC41" s="135">
        <f t="shared" si="24"/>
        <v>0</v>
      </c>
      <c r="AD41" s="135">
        <f t="shared" si="24"/>
        <v>0</v>
      </c>
      <c r="AE41" s="135">
        <f t="shared" si="24"/>
        <v>0</v>
      </c>
      <c r="AF41" s="135">
        <f t="shared" si="24"/>
        <v>0</v>
      </c>
    </row>
    <row r="42" spans="1:32">
      <c r="A42" s="43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A4" zoomScale="75" zoomScaleNormal="75" workbookViewId="0">
      <selection activeCell="H34" sqref="H3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191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351</v>
      </c>
      <c r="B6" s="231"/>
      <c r="C6" s="443">
        <f>Assumptions!C21</f>
        <v>21820</v>
      </c>
      <c r="D6" s="232"/>
      <c r="E6" s="232"/>
      <c r="F6" s="232"/>
      <c r="G6" s="232"/>
      <c r="H6" s="232"/>
      <c r="I6" s="233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2"/>
      <c r="U6" s="233"/>
      <c r="V6" s="232"/>
      <c r="W6" s="232"/>
      <c r="X6" s="235"/>
      <c r="Y6" s="235"/>
    </row>
    <row r="7" spans="1:25">
      <c r="A7" s="63" t="s">
        <v>198</v>
      </c>
      <c r="B7" s="231"/>
      <c r="C7" s="453">
        <f>Assumptions!H16</f>
        <v>7</v>
      </c>
      <c r="D7" s="232"/>
      <c r="E7" s="232"/>
      <c r="F7" s="232"/>
      <c r="G7" s="232"/>
      <c r="H7" s="232"/>
      <c r="I7" s="233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2"/>
      <c r="U7" s="233"/>
      <c r="V7" s="232"/>
      <c r="W7" s="232"/>
      <c r="X7" s="235"/>
      <c r="Y7" s="235"/>
    </row>
    <row r="8" spans="1:25">
      <c r="A8" s="63" t="s">
        <v>196</v>
      </c>
      <c r="B8" s="231"/>
      <c r="C8" s="526">
        <f>Assumptions!H39</f>
        <v>8.2500000000000004E-2</v>
      </c>
      <c r="D8" s="240">
        <f>C8/360</f>
        <v>2.2916666666666669E-4</v>
      </c>
      <c r="E8" s="232"/>
      <c r="F8" s="232"/>
      <c r="G8" s="232"/>
      <c r="H8" s="232"/>
      <c r="I8" s="233"/>
      <c r="J8" s="232"/>
      <c r="K8" s="232"/>
      <c r="L8" s="232"/>
      <c r="M8" s="232"/>
      <c r="N8" s="232"/>
      <c r="O8" s="233"/>
      <c r="P8" s="232"/>
      <c r="Q8" s="232"/>
      <c r="R8" s="232"/>
      <c r="S8" s="232"/>
      <c r="T8" s="232"/>
      <c r="U8" s="233"/>
      <c r="V8" s="232"/>
      <c r="W8" s="232"/>
      <c r="X8" s="235"/>
      <c r="Y8" s="235"/>
    </row>
    <row r="9" spans="1:25">
      <c r="A9" s="63"/>
      <c r="B9" s="231"/>
      <c r="C9" s="239" t="s">
        <v>197</v>
      </c>
      <c r="D9" s="239" t="s">
        <v>233</v>
      </c>
      <c r="E9" s="232"/>
      <c r="F9" s="232"/>
      <c r="G9" s="232"/>
      <c r="H9" s="232"/>
      <c r="I9" s="233"/>
      <c r="J9" s="232"/>
      <c r="K9" s="232"/>
      <c r="L9" s="232"/>
      <c r="M9" s="232"/>
      <c r="N9" s="232"/>
      <c r="O9" s="233"/>
      <c r="P9" s="232"/>
      <c r="Q9" s="232"/>
      <c r="R9" s="232"/>
      <c r="S9" s="232"/>
      <c r="T9" s="232"/>
      <c r="U9" s="233"/>
      <c r="V9" s="232"/>
      <c r="W9" s="232"/>
      <c r="X9" s="235"/>
      <c r="Y9" s="235"/>
    </row>
    <row r="10" spans="1:25">
      <c r="A10" s="63"/>
      <c r="B10" s="231"/>
      <c r="C10" s="239"/>
      <c r="D10" s="239"/>
      <c r="E10" s="232"/>
      <c r="F10" s="232"/>
      <c r="G10" s="232"/>
      <c r="H10" s="232"/>
      <c r="I10" s="233"/>
      <c r="J10" s="232"/>
      <c r="K10" s="232"/>
      <c r="L10" s="232"/>
      <c r="M10" s="232"/>
      <c r="N10" s="232"/>
      <c r="O10" s="233"/>
      <c r="P10" s="232"/>
      <c r="Q10" s="232"/>
      <c r="R10" s="232"/>
      <c r="S10" s="232"/>
      <c r="T10" s="232"/>
      <c r="U10" s="233"/>
      <c r="V10" s="232"/>
      <c r="W10" s="232"/>
      <c r="X10" s="235"/>
      <c r="Y10" s="235"/>
    </row>
    <row r="11" spans="1:25">
      <c r="A11" s="63"/>
      <c r="B11" s="231"/>
      <c r="C11" s="239"/>
      <c r="D11" s="239"/>
      <c r="E11" s="232"/>
      <c r="F11" s="232"/>
      <c r="G11" s="232"/>
      <c r="H11" s="232"/>
      <c r="I11" s="233"/>
      <c r="J11" s="232"/>
      <c r="K11" s="232"/>
      <c r="L11" s="232"/>
      <c r="M11" s="232"/>
      <c r="N11" s="232"/>
      <c r="O11" s="233"/>
      <c r="P11" s="232"/>
      <c r="Q11" s="232"/>
      <c r="R11" s="232"/>
      <c r="S11" s="232"/>
      <c r="T11" s="232"/>
      <c r="U11" s="233"/>
      <c r="V11" s="232"/>
      <c r="W11" s="232"/>
      <c r="X11" s="235"/>
      <c r="Y11" s="235"/>
    </row>
    <row r="12" spans="1:25">
      <c r="A12" s="5"/>
      <c r="B12" s="228"/>
      <c r="C12" s="228"/>
      <c r="D12" s="229" t="s">
        <v>185</v>
      </c>
      <c r="E12" s="227" t="s">
        <v>192</v>
      </c>
      <c r="F12" s="228"/>
      <c r="G12" s="228"/>
      <c r="H12" s="228"/>
      <c r="I12" s="228"/>
      <c r="J12" s="223"/>
    </row>
    <row r="13" spans="1:25">
      <c r="A13" s="227" t="s">
        <v>182</v>
      </c>
      <c r="B13" s="5"/>
      <c r="C13" s="5"/>
      <c r="D13" s="229" t="s">
        <v>193</v>
      </c>
      <c r="E13" s="229" t="s">
        <v>186</v>
      </c>
      <c r="F13" s="229" t="s">
        <v>187</v>
      </c>
      <c r="G13" s="234" t="s">
        <v>188</v>
      </c>
      <c r="H13" s="229" t="s">
        <v>189</v>
      </c>
      <c r="I13" s="229" t="s">
        <v>190</v>
      </c>
      <c r="J13" s="66"/>
    </row>
    <row r="14" spans="1:25">
      <c r="A14" s="224" t="s">
        <v>183</v>
      </c>
      <c r="B14" s="224" t="s">
        <v>133</v>
      </c>
      <c r="C14" s="224" t="s">
        <v>184</v>
      </c>
      <c r="D14" s="224" t="s">
        <v>195</v>
      </c>
      <c r="E14" s="224" t="s">
        <v>195</v>
      </c>
      <c r="F14" s="224" t="s">
        <v>195</v>
      </c>
      <c r="G14" s="224" t="s">
        <v>195</v>
      </c>
      <c r="H14" s="224" t="s">
        <v>195</v>
      </c>
      <c r="I14" s="224" t="s">
        <v>195</v>
      </c>
      <c r="J14" s="66"/>
    </row>
    <row r="15" spans="1:25">
      <c r="A15" s="225">
        <v>1</v>
      </c>
      <c r="B15" s="226">
        <v>36617</v>
      </c>
      <c r="C15" s="266">
        <f>HLOOKUP(Assumptions!$H$12,IDC!$H$40:$L$56,2+F42)</f>
        <v>0.1</v>
      </c>
      <c r="D15" s="236">
        <f>D59*Assumptions!H12</f>
        <v>57041.798429326831</v>
      </c>
      <c r="E15" s="237">
        <f t="shared" ref="E15:E33" si="0">C15*$C$6</f>
        <v>2182</v>
      </c>
      <c r="F15" s="237">
        <f t="shared" ref="F15:F33" si="1">+E15+D15</f>
        <v>59223.798429326831</v>
      </c>
      <c r="G15" s="237">
        <f>F15+H15</f>
        <v>59223.798429326831</v>
      </c>
      <c r="H15" s="237">
        <v>0</v>
      </c>
      <c r="I15" s="237">
        <v>0</v>
      </c>
      <c r="K15" s="441"/>
    </row>
    <row r="16" spans="1:25">
      <c r="A16" s="225">
        <f t="shared" ref="A16:A33" si="2">A15+1</f>
        <v>2</v>
      </c>
      <c r="B16" s="226">
        <v>36647</v>
      </c>
      <c r="C16" s="266">
        <f>HLOOKUP(Assumptions!$H$12,IDC!$H$40:$L$56,2+F43)</f>
        <v>0.04</v>
      </c>
      <c r="D16" s="236">
        <v>0</v>
      </c>
      <c r="E16" s="237">
        <f t="shared" si="0"/>
        <v>872.80000000000007</v>
      </c>
      <c r="F16" s="237">
        <f t="shared" si="1"/>
        <v>872.80000000000007</v>
      </c>
      <c r="G16" s="237">
        <f t="shared" ref="G16:G33" si="3">F16+G15+H16</f>
        <v>60503.762043528455</v>
      </c>
      <c r="H16" s="237">
        <f>IF(A16&gt;$C$7+1,0,G15*(B16-B15)*$D$8)</f>
        <v>407.16361420162201</v>
      </c>
      <c r="I16" s="237">
        <f>IF(A16&lt;=$C$7+1,H16+I15,I15)</f>
        <v>407.16361420162201</v>
      </c>
      <c r="K16" s="441"/>
    </row>
    <row r="17" spans="1:11">
      <c r="A17" s="225">
        <f t="shared" si="2"/>
        <v>3</v>
      </c>
      <c r="B17" s="226">
        <v>36678</v>
      </c>
      <c r="C17" s="266">
        <f>HLOOKUP(Assumptions!$H$12,IDC!$H$40:$L$56,2+F44)</f>
        <v>0.08</v>
      </c>
      <c r="D17" s="236">
        <v>0</v>
      </c>
      <c r="E17" s="237">
        <f t="shared" si="0"/>
        <v>1745.6000000000001</v>
      </c>
      <c r="F17" s="237">
        <f t="shared" si="1"/>
        <v>1745.6000000000001</v>
      </c>
      <c r="G17" s="237">
        <f t="shared" si="3"/>
        <v>62679.19085304602</v>
      </c>
      <c r="H17" s="237">
        <f t="shared" ref="H17:H33" si="4">IF(A17&gt;$C$7+1,0,G16*(B17-B16)*$D$8)</f>
        <v>429.82880951756675</v>
      </c>
      <c r="I17" s="237">
        <f t="shared" ref="I17:I33" si="5">IF(A17&lt;=$C$7+1,H17+I16,I16)</f>
        <v>836.99242371918876</v>
      </c>
      <c r="K17" s="441"/>
    </row>
    <row r="18" spans="1:11">
      <c r="A18" s="225">
        <f t="shared" si="2"/>
        <v>4</v>
      </c>
      <c r="B18" s="226">
        <v>36708</v>
      </c>
      <c r="C18" s="266">
        <f>HLOOKUP(Assumptions!$H$12,IDC!$H$40:$L$56,2+F45)</f>
        <v>0.1</v>
      </c>
      <c r="D18" s="236">
        <v>0</v>
      </c>
      <c r="E18" s="237">
        <f t="shared" si="0"/>
        <v>2182</v>
      </c>
      <c r="F18" s="237">
        <f t="shared" si="1"/>
        <v>2182</v>
      </c>
      <c r="G18" s="237">
        <f t="shared" si="3"/>
        <v>65292.110290160716</v>
      </c>
      <c r="H18" s="237">
        <f t="shared" si="4"/>
        <v>430.91943711469145</v>
      </c>
      <c r="I18" s="237">
        <f t="shared" si="5"/>
        <v>1267.9118608338802</v>
      </c>
      <c r="K18" s="441"/>
    </row>
    <row r="19" spans="1:11">
      <c r="A19" s="225">
        <f t="shared" si="2"/>
        <v>5</v>
      </c>
      <c r="B19" s="226">
        <v>36739</v>
      </c>
      <c r="C19" s="266">
        <f>HLOOKUP(Assumptions!$H$12,IDC!$H$40:$L$56,2+F46)</f>
        <v>0.11</v>
      </c>
      <c r="D19" s="236">
        <v>0</v>
      </c>
      <c r="E19" s="237">
        <f t="shared" si="0"/>
        <v>2400.1999999999998</v>
      </c>
      <c r="F19" s="237">
        <f t="shared" si="1"/>
        <v>2400.1999999999998</v>
      </c>
      <c r="G19" s="237">
        <f t="shared" si="3"/>
        <v>68156.156323680407</v>
      </c>
      <c r="H19" s="237">
        <f t="shared" si="4"/>
        <v>463.84603351968349</v>
      </c>
      <c r="I19" s="237">
        <f t="shared" si="5"/>
        <v>1731.7578943535636</v>
      </c>
      <c r="K19" s="441"/>
    </row>
    <row r="20" spans="1:11">
      <c r="A20" s="225">
        <f t="shared" si="2"/>
        <v>6</v>
      </c>
      <c r="B20" s="226">
        <v>36770</v>
      </c>
      <c r="C20" s="266">
        <f>HLOOKUP(Assumptions!$H$12,IDC!$H$40:$L$56,2+F47)</f>
        <v>0.11</v>
      </c>
      <c r="D20" s="236">
        <v>0</v>
      </c>
      <c r="E20" s="237">
        <f t="shared" si="0"/>
        <v>2400.1999999999998</v>
      </c>
      <c r="F20" s="237">
        <f t="shared" si="1"/>
        <v>2400.1999999999998</v>
      </c>
      <c r="G20" s="237">
        <f t="shared" si="3"/>
        <v>71040.549017563215</v>
      </c>
      <c r="H20" s="237">
        <f t="shared" si="4"/>
        <v>484.19269388281299</v>
      </c>
      <c r="I20" s="237">
        <f t="shared" si="5"/>
        <v>2215.9505882363765</v>
      </c>
      <c r="K20" s="441"/>
    </row>
    <row r="21" spans="1:11">
      <c r="A21" s="225">
        <f t="shared" si="2"/>
        <v>7</v>
      </c>
      <c r="B21" s="226">
        <v>36800</v>
      </c>
      <c r="C21" s="266">
        <f>HLOOKUP(Assumptions!$H$12,IDC!$H$40:$L$56,2+F48)</f>
        <v>0.1</v>
      </c>
      <c r="D21" s="236">
        <v>0</v>
      </c>
      <c r="E21" s="237">
        <f t="shared" si="0"/>
        <v>2182</v>
      </c>
      <c r="F21" s="237">
        <f t="shared" si="1"/>
        <v>2182</v>
      </c>
      <c r="G21" s="237">
        <f t="shared" si="3"/>
        <v>73710.952792058961</v>
      </c>
      <c r="H21" s="237">
        <f t="shared" si="4"/>
        <v>488.40377449574714</v>
      </c>
      <c r="I21" s="237">
        <f t="shared" si="5"/>
        <v>2704.3543627321237</v>
      </c>
      <c r="K21" s="441"/>
    </row>
    <row r="22" spans="1:11">
      <c r="A22" s="225">
        <f t="shared" si="2"/>
        <v>8</v>
      </c>
      <c r="B22" s="226">
        <v>36831</v>
      </c>
      <c r="C22" s="266">
        <f>HLOOKUP(Assumptions!$H$12,IDC!$H$40:$L$56,2+F49)</f>
        <v>0.08</v>
      </c>
      <c r="D22" s="236">
        <v>0</v>
      </c>
      <c r="E22" s="237">
        <f t="shared" si="0"/>
        <v>1745.6000000000001</v>
      </c>
      <c r="F22" s="237">
        <f t="shared" si="1"/>
        <v>1745.6000000000001</v>
      </c>
      <c r="G22" s="237">
        <f t="shared" si="3"/>
        <v>75980.207685852554</v>
      </c>
      <c r="H22" s="237">
        <f t="shared" si="4"/>
        <v>523.65489379358553</v>
      </c>
      <c r="I22" s="237">
        <f t="shared" si="5"/>
        <v>3228.0092565257091</v>
      </c>
      <c r="K22" s="441"/>
    </row>
    <row r="23" spans="1:11">
      <c r="A23" s="225">
        <f t="shared" si="2"/>
        <v>9</v>
      </c>
      <c r="B23" s="226">
        <v>36861</v>
      </c>
      <c r="C23" s="266">
        <f>HLOOKUP(Assumptions!$H$12,IDC!$H$40:$L$56,2+F50)</f>
        <v>0.06</v>
      </c>
      <c r="D23" s="236">
        <v>0</v>
      </c>
      <c r="E23" s="237">
        <f t="shared" si="0"/>
        <v>1309.2</v>
      </c>
      <c r="F23" s="237">
        <f t="shared" si="1"/>
        <v>1309.2</v>
      </c>
      <c r="G23" s="237">
        <f t="shared" si="3"/>
        <v>77289.407685852551</v>
      </c>
      <c r="H23" s="237">
        <f t="shared" si="4"/>
        <v>0</v>
      </c>
      <c r="I23" s="237">
        <f t="shared" si="5"/>
        <v>3228.0092565257091</v>
      </c>
      <c r="K23" s="441"/>
    </row>
    <row r="24" spans="1:11">
      <c r="A24" s="225">
        <f t="shared" si="2"/>
        <v>10</v>
      </c>
      <c r="B24" s="226">
        <v>36892</v>
      </c>
      <c r="C24" s="266">
        <f>HLOOKUP(Assumptions!$H$12,IDC!$H$40:$L$56,2+F51)</f>
        <v>0.06</v>
      </c>
      <c r="D24" s="236">
        <v>0</v>
      </c>
      <c r="E24" s="237">
        <f t="shared" si="0"/>
        <v>1309.2</v>
      </c>
      <c r="F24" s="237">
        <f t="shared" si="1"/>
        <v>1309.2</v>
      </c>
      <c r="G24" s="237">
        <f t="shared" si="3"/>
        <v>78598.607685852548</v>
      </c>
      <c r="H24" s="237">
        <f t="shared" si="4"/>
        <v>0</v>
      </c>
      <c r="I24" s="237">
        <f t="shared" si="5"/>
        <v>3228.0092565257091</v>
      </c>
      <c r="K24" s="441"/>
    </row>
    <row r="25" spans="1:11">
      <c r="A25" s="225">
        <f t="shared" si="2"/>
        <v>11</v>
      </c>
      <c r="B25" s="226">
        <v>36923</v>
      </c>
      <c r="C25" s="266">
        <f>HLOOKUP(Assumptions!$H$12,IDC!$H$40:$L$56,2+F52)</f>
        <v>0.03</v>
      </c>
      <c r="D25" s="236">
        <v>0</v>
      </c>
      <c r="E25" s="237">
        <f t="shared" si="0"/>
        <v>654.6</v>
      </c>
      <c r="F25" s="237">
        <f t="shared" si="1"/>
        <v>654.6</v>
      </c>
      <c r="G25" s="237">
        <f t="shared" si="3"/>
        <v>79253.207685852554</v>
      </c>
      <c r="H25" s="237">
        <f t="shared" si="4"/>
        <v>0</v>
      </c>
      <c r="I25" s="237">
        <f t="shared" si="5"/>
        <v>3228.0092565257091</v>
      </c>
      <c r="K25" s="441"/>
    </row>
    <row r="26" spans="1:11">
      <c r="A26" s="225">
        <f t="shared" si="2"/>
        <v>12</v>
      </c>
      <c r="B26" s="226">
        <v>36951</v>
      </c>
      <c r="C26" s="266">
        <f>HLOOKUP(Assumptions!$H$12,IDC!$H$40:$L$56,2+F53)</f>
        <v>0.04</v>
      </c>
      <c r="D26" s="236">
        <v>0</v>
      </c>
      <c r="E26" s="237">
        <f t="shared" si="0"/>
        <v>872.80000000000007</v>
      </c>
      <c r="F26" s="237">
        <f t="shared" si="1"/>
        <v>872.80000000000007</v>
      </c>
      <c r="G26" s="237">
        <f t="shared" si="3"/>
        <v>80126.007685852557</v>
      </c>
      <c r="H26" s="237">
        <f t="shared" si="4"/>
        <v>0</v>
      </c>
      <c r="I26" s="237">
        <f t="shared" si="5"/>
        <v>3228.0092565257091</v>
      </c>
      <c r="K26" s="441"/>
    </row>
    <row r="27" spans="1:11">
      <c r="A27" s="225">
        <f t="shared" si="2"/>
        <v>13</v>
      </c>
      <c r="B27" s="226">
        <v>36982</v>
      </c>
      <c r="C27" s="266">
        <f>HLOOKUP(Assumptions!$H$12,IDC!$H$40:$L$56,2+F54)</f>
        <v>0.04</v>
      </c>
      <c r="D27" s="236">
        <v>0</v>
      </c>
      <c r="E27" s="237">
        <f t="shared" si="0"/>
        <v>872.80000000000007</v>
      </c>
      <c r="F27" s="237">
        <f t="shared" si="1"/>
        <v>872.80000000000007</v>
      </c>
      <c r="G27" s="237">
        <f t="shared" si="3"/>
        <v>80998.80768585256</v>
      </c>
      <c r="H27" s="237">
        <f t="shared" si="4"/>
        <v>0</v>
      </c>
      <c r="I27" s="237">
        <f t="shared" si="5"/>
        <v>3228.0092565257091</v>
      </c>
      <c r="K27" s="441"/>
    </row>
    <row r="28" spans="1:11">
      <c r="A28" s="225">
        <f t="shared" si="2"/>
        <v>14</v>
      </c>
      <c r="B28" s="226">
        <v>37012</v>
      </c>
      <c r="C28" s="266">
        <f>HLOOKUP(Assumptions!$H$12,IDC!$H$40:$L$56,2+F55)</f>
        <v>0.05</v>
      </c>
      <c r="D28" s="236">
        <v>0</v>
      </c>
      <c r="E28" s="237">
        <f t="shared" si="0"/>
        <v>1091</v>
      </c>
      <c r="F28" s="237">
        <f t="shared" si="1"/>
        <v>1091</v>
      </c>
      <c r="G28" s="237">
        <f t="shared" si="3"/>
        <v>82089.80768585256</v>
      </c>
      <c r="H28" s="237">
        <f t="shared" si="4"/>
        <v>0</v>
      </c>
      <c r="I28" s="237">
        <f t="shared" si="5"/>
        <v>3228.0092565257091</v>
      </c>
      <c r="K28" s="441"/>
    </row>
    <row r="29" spans="1:11">
      <c r="A29" s="225">
        <f t="shared" si="2"/>
        <v>15</v>
      </c>
      <c r="B29" s="226">
        <v>37043</v>
      </c>
      <c r="C29" s="266">
        <f>HLOOKUP(Assumptions!$H$12,IDC!$H$40:$L$56,2+F56)</f>
        <v>0</v>
      </c>
      <c r="D29" s="236">
        <v>0</v>
      </c>
      <c r="E29" s="237">
        <f t="shared" si="0"/>
        <v>0</v>
      </c>
      <c r="F29" s="237">
        <f t="shared" si="1"/>
        <v>0</v>
      </c>
      <c r="G29" s="237">
        <f t="shared" si="3"/>
        <v>82089.80768585256</v>
      </c>
      <c r="H29" s="237">
        <f t="shared" si="4"/>
        <v>0</v>
      </c>
      <c r="I29" s="237">
        <f t="shared" si="5"/>
        <v>3228.0092565257091</v>
      </c>
      <c r="K29" s="441"/>
    </row>
    <row r="30" spans="1:11">
      <c r="A30" s="225">
        <f t="shared" si="2"/>
        <v>16</v>
      </c>
      <c r="B30" s="226">
        <v>37073</v>
      </c>
      <c r="C30" s="266">
        <v>0</v>
      </c>
      <c r="D30" s="236">
        <v>0</v>
      </c>
      <c r="E30" s="237">
        <f t="shared" si="0"/>
        <v>0</v>
      </c>
      <c r="F30" s="237">
        <f t="shared" si="1"/>
        <v>0</v>
      </c>
      <c r="G30" s="237">
        <f t="shared" si="3"/>
        <v>82089.80768585256</v>
      </c>
      <c r="H30" s="237">
        <f t="shared" si="4"/>
        <v>0</v>
      </c>
      <c r="I30" s="237">
        <f t="shared" si="5"/>
        <v>3228.0092565257091</v>
      </c>
      <c r="K30" s="441"/>
    </row>
    <row r="31" spans="1:11">
      <c r="A31" s="225">
        <f t="shared" si="2"/>
        <v>17</v>
      </c>
      <c r="B31" s="226">
        <v>37104</v>
      </c>
      <c r="C31" s="266">
        <v>0</v>
      </c>
      <c r="D31" s="236">
        <v>0</v>
      </c>
      <c r="E31" s="237">
        <f t="shared" si="0"/>
        <v>0</v>
      </c>
      <c r="F31" s="237">
        <f t="shared" si="1"/>
        <v>0</v>
      </c>
      <c r="G31" s="237">
        <f t="shared" si="3"/>
        <v>82089.80768585256</v>
      </c>
      <c r="H31" s="237">
        <f t="shared" si="4"/>
        <v>0</v>
      </c>
      <c r="I31" s="237">
        <f t="shared" si="5"/>
        <v>3228.0092565257091</v>
      </c>
      <c r="K31" s="441"/>
    </row>
    <row r="32" spans="1:11">
      <c r="A32" s="225">
        <f t="shared" si="2"/>
        <v>18</v>
      </c>
      <c r="B32" s="226">
        <v>37135</v>
      </c>
      <c r="C32" s="266">
        <v>0</v>
      </c>
      <c r="D32" s="236">
        <v>0</v>
      </c>
      <c r="E32" s="237">
        <f t="shared" si="0"/>
        <v>0</v>
      </c>
      <c r="F32" s="237">
        <f t="shared" si="1"/>
        <v>0</v>
      </c>
      <c r="G32" s="237">
        <f t="shared" si="3"/>
        <v>82089.80768585256</v>
      </c>
      <c r="H32" s="237">
        <f t="shared" si="4"/>
        <v>0</v>
      </c>
      <c r="I32" s="237">
        <f t="shared" si="5"/>
        <v>3228.0092565257091</v>
      </c>
      <c r="K32" s="441"/>
    </row>
    <row r="33" spans="1:12">
      <c r="A33" s="225">
        <f t="shared" si="2"/>
        <v>19</v>
      </c>
      <c r="B33" s="226">
        <v>37165</v>
      </c>
      <c r="C33" s="440">
        <v>0</v>
      </c>
      <c r="D33" s="241">
        <v>0</v>
      </c>
      <c r="E33" s="242">
        <f t="shared" si="0"/>
        <v>0</v>
      </c>
      <c r="F33" s="242">
        <f t="shared" si="1"/>
        <v>0</v>
      </c>
      <c r="G33" s="242">
        <f t="shared" si="3"/>
        <v>82089.80768585256</v>
      </c>
      <c r="H33" s="242">
        <f t="shared" si="4"/>
        <v>0</v>
      </c>
      <c r="I33" s="242">
        <f t="shared" si="5"/>
        <v>3228.0092565257091</v>
      </c>
      <c r="K33" s="441"/>
    </row>
    <row r="34" spans="1:12">
      <c r="C34" s="230">
        <f>SUM(C15:C33)</f>
        <v>1.0000000000000002</v>
      </c>
      <c r="D34" s="238">
        <f>SUM(D15:D33)</f>
        <v>57041.798429326831</v>
      </c>
      <c r="E34" s="238">
        <f>SUM(E15:E33)</f>
        <v>21819.999999999996</v>
      </c>
      <c r="F34" s="238">
        <f>SUM(F15:F33)</f>
        <v>78861.798429326838</v>
      </c>
      <c r="G34" s="18"/>
      <c r="H34" s="238">
        <f>SUM(H15:H33)</f>
        <v>3228.0092565257091</v>
      </c>
      <c r="I34" s="238"/>
    </row>
    <row r="38" spans="1:12" ht="18.75">
      <c r="A38" s="61" t="s">
        <v>229</v>
      </c>
      <c r="B38" s="282"/>
      <c r="F38"/>
      <c r="G38"/>
      <c r="H38"/>
      <c r="I38"/>
      <c r="J38"/>
      <c r="K38"/>
      <c r="L38"/>
    </row>
    <row r="39" spans="1:12" ht="13.5" thickBot="1">
      <c r="F39" s="405" t="s">
        <v>428</v>
      </c>
    </row>
    <row r="40" spans="1:12">
      <c r="F40" s="423"/>
      <c r="G40" s="419" t="s">
        <v>337</v>
      </c>
      <c r="H40" s="419">
        <v>2</v>
      </c>
      <c r="I40" s="419">
        <v>3</v>
      </c>
      <c r="J40" s="419">
        <v>4</v>
      </c>
      <c r="K40" s="419">
        <v>5</v>
      </c>
      <c r="L40" s="420">
        <v>6</v>
      </c>
    </row>
    <row r="41" spans="1:12" ht="13.5" thickBot="1">
      <c r="A41" s="227" t="s">
        <v>338</v>
      </c>
      <c r="B41" s="227" t="s">
        <v>340</v>
      </c>
      <c r="C41" s="227" t="s">
        <v>342</v>
      </c>
      <c r="D41" s="227" t="s">
        <v>228</v>
      </c>
      <c r="F41" s="424" t="s">
        <v>183</v>
      </c>
      <c r="G41" s="421" t="s">
        <v>347</v>
      </c>
      <c r="H41" s="421">
        <v>13</v>
      </c>
      <c r="I41" s="421">
        <v>13.5</v>
      </c>
      <c r="J41" s="421">
        <v>14</v>
      </c>
      <c r="K41" s="421">
        <v>14.5</v>
      </c>
      <c r="L41" s="422">
        <v>15</v>
      </c>
    </row>
    <row r="42" spans="1:12" ht="13.5" thickBot="1">
      <c r="A42" s="227" t="s">
        <v>339</v>
      </c>
      <c r="B42" s="227" t="s">
        <v>341</v>
      </c>
      <c r="C42" s="227" t="s">
        <v>343</v>
      </c>
      <c r="D42" s="227" t="s">
        <v>344</v>
      </c>
      <c r="F42" s="425">
        <v>1</v>
      </c>
      <c r="G42" s="411"/>
      <c r="H42" s="523">
        <v>0.1</v>
      </c>
      <c r="I42" s="523">
        <v>0.1</v>
      </c>
      <c r="J42" s="412">
        <v>0.1</v>
      </c>
      <c r="K42" s="412">
        <v>0.1</v>
      </c>
      <c r="L42" s="413">
        <v>0.1</v>
      </c>
    </row>
    <row r="43" spans="1:12">
      <c r="A43" s="429" t="s">
        <v>227</v>
      </c>
      <c r="B43" s="430">
        <v>3</v>
      </c>
      <c r="C43" s="431">
        <v>36737</v>
      </c>
      <c r="D43" s="432">
        <v>36829</v>
      </c>
      <c r="F43" s="426">
        <v>2</v>
      </c>
      <c r="G43" s="178"/>
      <c r="H43" s="524">
        <v>0.04</v>
      </c>
      <c r="I43" s="524">
        <v>0.04</v>
      </c>
      <c r="J43" s="414">
        <v>0.04</v>
      </c>
      <c r="K43" s="414">
        <v>0.04</v>
      </c>
      <c r="L43" s="415">
        <v>0.04</v>
      </c>
    </row>
    <row r="44" spans="1:12">
      <c r="A44" s="433" t="s">
        <v>226</v>
      </c>
      <c r="B44" s="427">
        <v>3</v>
      </c>
      <c r="C44" s="428">
        <v>36768</v>
      </c>
      <c r="D44" s="434">
        <v>36829</v>
      </c>
      <c r="F44" s="426">
        <v>3</v>
      </c>
      <c r="G44" s="178"/>
      <c r="H44" s="524">
        <v>0.08</v>
      </c>
      <c r="I44" s="524">
        <v>0.08</v>
      </c>
      <c r="J44" s="414">
        <v>0.08</v>
      </c>
      <c r="K44" s="414">
        <v>0.08</v>
      </c>
      <c r="L44" s="415">
        <v>0.08</v>
      </c>
    </row>
    <row r="45" spans="1:12">
      <c r="A45" s="433" t="s">
        <v>225</v>
      </c>
      <c r="B45" s="427">
        <v>2</v>
      </c>
      <c r="C45" s="428">
        <v>36799</v>
      </c>
      <c r="D45" s="434">
        <v>36829</v>
      </c>
      <c r="F45" s="426">
        <v>4</v>
      </c>
      <c r="G45" s="178"/>
      <c r="H45" s="524">
        <v>0.12</v>
      </c>
      <c r="I45" s="524">
        <v>0.12</v>
      </c>
      <c r="J45" s="414">
        <v>0.1</v>
      </c>
      <c r="K45" s="414">
        <v>0.1</v>
      </c>
      <c r="L45" s="415">
        <v>0.1</v>
      </c>
    </row>
    <row r="46" spans="1:12">
      <c r="A46" s="433" t="s">
        <v>224</v>
      </c>
      <c r="B46" s="427">
        <v>3</v>
      </c>
      <c r="C46" s="428">
        <v>36829</v>
      </c>
      <c r="D46" s="434">
        <v>36829</v>
      </c>
      <c r="F46" s="426">
        <v>5</v>
      </c>
      <c r="G46" s="178"/>
      <c r="H46" s="524">
        <v>0.12</v>
      </c>
      <c r="I46" s="524">
        <v>0.12</v>
      </c>
      <c r="J46" s="414">
        <v>0.11</v>
      </c>
      <c r="K46" s="414">
        <v>0.11</v>
      </c>
      <c r="L46" s="415">
        <v>0.1</v>
      </c>
    </row>
    <row r="47" spans="1:12">
      <c r="A47" s="433" t="s">
        <v>223</v>
      </c>
      <c r="B47" s="427">
        <v>2</v>
      </c>
      <c r="C47" s="428">
        <v>36860</v>
      </c>
      <c r="D47" s="434">
        <v>36860</v>
      </c>
      <c r="F47" s="426">
        <v>6</v>
      </c>
      <c r="G47" s="178"/>
      <c r="H47" s="524">
        <v>0.12</v>
      </c>
      <c r="I47" s="524">
        <v>0.12</v>
      </c>
      <c r="J47" s="414">
        <v>0.11</v>
      </c>
      <c r="K47" s="414">
        <v>0.11</v>
      </c>
      <c r="L47" s="415">
        <v>0.1</v>
      </c>
    </row>
    <row r="48" spans="1:12">
      <c r="A48" s="435" t="s">
        <v>222</v>
      </c>
      <c r="B48" s="427">
        <v>2</v>
      </c>
      <c r="C48" s="428">
        <v>36890</v>
      </c>
      <c r="D48" s="434">
        <v>36890</v>
      </c>
      <c r="F48" s="426">
        <v>7</v>
      </c>
      <c r="G48" s="178"/>
      <c r="H48" s="524">
        <v>0.1</v>
      </c>
      <c r="I48" s="524">
        <v>0.1</v>
      </c>
      <c r="J48" s="414">
        <v>0.1</v>
      </c>
      <c r="K48" s="414">
        <v>0.1</v>
      </c>
      <c r="L48" s="415">
        <v>0.08</v>
      </c>
    </row>
    <row r="49" spans="1:12">
      <c r="A49" s="435" t="s">
        <v>221</v>
      </c>
      <c r="B49" s="427">
        <v>3</v>
      </c>
      <c r="C49" s="428">
        <v>36555</v>
      </c>
      <c r="D49" s="434">
        <v>36555</v>
      </c>
      <c r="F49" s="426">
        <v>8</v>
      </c>
      <c r="G49" s="178"/>
      <c r="H49" s="524">
        <v>0.08</v>
      </c>
      <c r="I49" s="524">
        <v>0.08</v>
      </c>
      <c r="J49" s="414">
        <v>0.08</v>
      </c>
      <c r="K49" s="414">
        <v>0.08</v>
      </c>
      <c r="L49" s="415">
        <v>0.08</v>
      </c>
    </row>
    <row r="50" spans="1:12">
      <c r="A50" s="435" t="s">
        <v>220</v>
      </c>
      <c r="B50" s="427">
        <v>2</v>
      </c>
      <c r="C50" s="428">
        <v>36950</v>
      </c>
      <c r="D50" s="434">
        <v>36950</v>
      </c>
      <c r="F50" s="426">
        <v>9</v>
      </c>
      <c r="G50" s="178"/>
      <c r="H50" s="524">
        <v>0.06</v>
      </c>
      <c r="I50" s="524">
        <v>0.06</v>
      </c>
      <c r="J50" s="414">
        <v>0.06</v>
      </c>
      <c r="K50" s="414">
        <v>0.06</v>
      </c>
      <c r="L50" s="415">
        <v>0.06</v>
      </c>
    </row>
    <row r="51" spans="1:12">
      <c r="A51" s="435" t="s">
        <v>219</v>
      </c>
      <c r="B51" s="427">
        <v>2</v>
      </c>
      <c r="C51" s="428">
        <v>36980</v>
      </c>
      <c r="D51" s="434">
        <v>36980</v>
      </c>
      <c r="F51" s="426">
        <v>10</v>
      </c>
      <c r="G51" s="178"/>
      <c r="H51" s="524">
        <v>0.06</v>
      </c>
      <c r="I51" s="524">
        <v>0.06</v>
      </c>
      <c r="J51" s="414">
        <v>0.06</v>
      </c>
      <c r="K51" s="414">
        <v>0.06</v>
      </c>
      <c r="L51" s="415">
        <v>0.06</v>
      </c>
    </row>
    <row r="52" spans="1:12" ht="13.5" thickBot="1">
      <c r="A52" s="436" t="s">
        <v>218</v>
      </c>
      <c r="B52" s="437">
        <v>2</v>
      </c>
      <c r="C52" s="438">
        <v>37011</v>
      </c>
      <c r="D52" s="439">
        <v>37011</v>
      </c>
      <c r="F52" s="426">
        <v>11</v>
      </c>
      <c r="G52" s="178"/>
      <c r="H52" s="524">
        <v>0.03</v>
      </c>
      <c r="I52" s="524">
        <v>0.03</v>
      </c>
      <c r="J52" s="414">
        <v>0.03</v>
      </c>
      <c r="K52" s="414">
        <v>0.03</v>
      </c>
      <c r="L52" s="415">
        <v>0.03</v>
      </c>
    </row>
    <row r="53" spans="1:12">
      <c r="F53" s="426">
        <v>12</v>
      </c>
      <c r="G53" s="178"/>
      <c r="H53" s="524">
        <v>0.04</v>
      </c>
      <c r="I53" s="524">
        <v>0.04</v>
      </c>
      <c r="J53" s="414">
        <v>0.04</v>
      </c>
      <c r="K53" s="414">
        <v>0.04</v>
      </c>
      <c r="L53" s="415">
        <v>0.04</v>
      </c>
    </row>
    <row r="54" spans="1:12" ht="13.5" thickBot="1">
      <c r="F54" s="426">
        <v>13</v>
      </c>
      <c r="G54" s="178"/>
      <c r="H54" s="524">
        <v>0.05</v>
      </c>
      <c r="I54" s="524">
        <v>0.05</v>
      </c>
      <c r="J54" s="414">
        <v>0.04</v>
      </c>
      <c r="K54" s="414">
        <v>0.04</v>
      </c>
      <c r="L54" s="415">
        <v>0.04</v>
      </c>
    </row>
    <row r="55" spans="1:12">
      <c r="A55" s="286" t="s">
        <v>345</v>
      </c>
      <c r="B55" s="38"/>
      <c r="C55" s="38"/>
      <c r="D55" s="283"/>
      <c r="F55" s="426">
        <v>14</v>
      </c>
      <c r="G55" s="178"/>
      <c r="H55" s="414">
        <v>0</v>
      </c>
      <c r="I55" s="414">
        <v>0</v>
      </c>
      <c r="J55" s="414">
        <v>0.05</v>
      </c>
      <c r="K55" s="414">
        <v>0.05</v>
      </c>
      <c r="L55" s="415">
        <v>0.04</v>
      </c>
    </row>
    <row r="56" spans="1:12" ht="13.5" thickBot="1">
      <c r="A56" s="41" t="s">
        <v>231</v>
      </c>
      <c r="B56" s="13"/>
      <c r="C56" s="13"/>
      <c r="D56" s="284">
        <v>13950</v>
      </c>
      <c r="F56" s="471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8">
        <v>0.05</v>
      </c>
    </row>
    <row r="57" spans="1:12" ht="13.5" thickBot="1">
      <c r="A57" s="41" t="s">
        <v>232</v>
      </c>
      <c r="B57" s="13"/>
      <c r="C57" s="13"/>
      <c r="D57" s="284">
        <v>289.6162739983738</v>
      </c>
      <c r="F57" s="442" t="s">
        <v>348</v>
      </c>
      <c r="G57" s="416"/>
      <c r="H57" s="417">
        <f>SUM(H42:H56)</f>
        <v>1.0000000000000002</v>
      </c>
      <c r="I57" s="417">
        <f>SUM(I42:I56)</f>
        <v>1.0000000000000002</v>
      </c>
      <c r="J57" s="417">
        <f>SUM(J42:J56)</f>
        <v>1.0000000000000002</v>
      </c>
      <c r="K57" s="417">
        <f>SUM(K42:K56)</f>
        <v>1.0000000000000002</v>
      </c>
      <c r="L57" s="418">
        <f>SUM(L42:L56)</f>
        <v>1.0000000000000002</v>
      </c>
    </row>
    <row r="58" spans="1:12" ht="13.5" thickBot="1">
      <c r="A58" s="170" t="s">
        <v>230</v>
      </c>
      <c r="B58" s="42"/>
      <c r="C58" s="42"/>
      <c r="D58" s="285">
        <v>20.833333333333314</v>
      </c>
      <c r="E58" s="66"/>
    </row>
    <row r="59" spans="1:12" ht="13.5" thickBot="1">
      <c r="A59" s="287" t="s">
        <v>346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8" t="s">
        <v>124</v>
      </c>
    </row>
    <row r="6" spans="1:4" ht="13.5" thickBot="1"/>
    <row r="7" spans="1:4" ht="13.5" thickBot="1">
      <c r="A7" s="521"/>
      <c r="B7" s="477" t="s">
        <v>410</v>
      </c>
      <c r="C7" s="478" t="s">
        <v>0</v>
      </c>
      <c r="D7" s="479"/>
    </row>
    <row r="8" spans="1:4">
      <c r="A8" s="480"/>
      <c r="B8" s="292" t="s">
        <v>126</v>
      </c>
      <c r="C8" s="292" t="s">
        <v>2</v>
      </c>
      <c r="D8" s="481" t="s">
        <v>417</v>
      </c>
    </row>
    <row r="9" spans="1:4" ht="13.5" thickBot="1">
      <c r="A9" s="482" t="s">
        <v>123</v>
      </c>
      <c r="B9" s="483">
        <f>'Returns Analysis'!C39</f>
        <v>0.14115228056907658</v>
      </c>
      <c r="C9" s="484">
        <f>Debt!E69</f>
        <v>1.2999999999999972</v>
      </c>
      <c r="D9" s="485">
        <f>Debt!E68</f>
        <v>1.3000000000000003</v>
      </c>
    </row>
    <row r="10" spans="1:4">
      <c r="A10" s="63"/>
      <c r="C10" s="486"/>
      <c r="D10" s="486"/>
    </row>
    <row r="11" spans="1:4" ht="13.5" thickBot="1"/>
    <row r="12" spans="1:4">
      <c r="A12" s="487" t="s">
        <v>376</v>
      </c>
      <c r="B12" s="488">
        <f>B9</f>
        <v>0.14115228056907658</v>
      </c>
      <c r="C12" s="489">
        <f>C9</f>
        <v>1.2999999999999972</v>
      </c>
      <c r="D12" s="490">
        <f>D9</f>
        <v>1.3000000000000003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D13" sqref="D13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3" t="s">
        <v>83</v>
      </c>
      <c r="I1" s="80"/>
      <c r="AL1" s="80"/>
    </row>
    <row r="2" spans="1:38" ht="13.5" customHeight="1">
      <c r="A2" s="243"/>
      <c r="I2" s="80"/>
      <c r="AL2" s="80"/>
    </row>
    <row r="3" spans="1:38" ht="19.5" customHeight="1">
      <c r="A3" s="177" t="s">
        <v>429</v>
      </c>
      <c r="I3" s="80"/>
      <c r="AL3" s="80"/>
    </row>
    <row r="4" spans="1:38" s="5" customFormat="1" ht="19.5" customHeight="1">
      <c r="A4" s="244"/>
      <c r="I4" s="175"/>
      <c r="AL4" s="175"/>
    </row>
    <row r="5" spans="1:38" ht="19.5" customHeight="1">
      <c r="A5" s="168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91</v>
      </c>
      <c r="G8" s="112"/>
      <c r="H8" s="113"/>
      <c r="I8" s="198"/>
      <c r="J8" s="39"/>
      <c r="L8" s="94" t="s">
        <v>204</v>
      </c>
      <c r="M8" s="118"/>
      <c r="N8" s="38"/>
      <c r="O8" s="38"/>
      <c r="P8" s="39"/>
      <c r="U8" s="336" t="s">
        <v>237</v>
      </c>
      <c r="V8" s="337" t="s">
        <v>242</v>
      </c>
      <c r="W8" s="337" t="s">
        <v>246</v>
      </c>
      <c r="X8" s="337" t="s">
        <v>125</v>
      </c>
      <c r="Y8" s="337" t="s">
        <v>261</v>
      </c>
      <c r="Z8" s="337" t="s">
        <v>262</v>
      </c>
      <c r="AA8" s="337" t="s">
        <v>263</v>
      </c>
      <c r="AB8" s="359" t="s">
        <v>321</v>
      </c>
    </row>
    <row r="9" spans="1:38" ht="15.75">
      <c r="A9" s="95" t="s">
        <v>6</v>
      </c>
      <c r="B9" s="96" t="s">
        <v>7</v>
      </c>
      <c r="C9" s="192" t="s">
        <v>8</v>
      </c>
      <c r="D9" s="345" t="s">
        <v>199</v>
      </c>
      <c r="E9" s="13"/>
      <c r="F9" s="115"/>
      <c r="G9" s="174"/>
      <c r="H9" s="174"/>
      <c r="I9" s="13"/>
      <c r="J9" s="40"/>
      <c r="L9" s="117" t="s">
        <v>309</v>
      </c>
      <c r="M9" s="13"/>
      <c r="N9" s="13"/>
      <c r="O9" s="13"/>
      <c r="P9" s="40"/>
      <c r="U9" s="326" t="s">
        <v>241</v>
      </c>
      <c r="V9" s="327" t="s">
        <v>243</v>
      </c>
      <c r="W9" s="327" t="s">
        <v>315</v>
      </c>
      <c r="X9" s="327" t="s">
        <v>257</v>
      </c>
      <c r="Y9" s="327" t="s">
        <v>266</v>
      </c>
      <c r="Z9" s="327" t="s">
        <v>264</v>
      </c>
      <c r="AA9" s="327" t="s">
        <v>264</v>
      </c>
      <c r="AB9" s="360" t="s">
        <v>324</v>
      </c>
    </row>
    <row r="10" spans="1:38" ht="15.75">
      <c r="A10" s="98" t="s">
        <v>9</v>
      </c>
      <c r="B10" s="267">
        <f>C10/C13</f>
        <v>0.1763074566807987</v>
      </c>
      <c r="C10" s="193">
        <f>C61-C11</f>
        <v>19531.711651831021</v>
      </c>
      <c r="D10" s="346">
        <f>C10/$H$69</f>
        <v>103.89208325442033</v>
      </c>
      <c r="E10" s="13"/>
      <c r="F10" s="115" t="s">
        <v>104</v>
      </c>
      <c r="G10" s="13"/>
      <c r="H10" s="217" t="s">
        <v>118</v>
      </c>
      <c r="I10" s="13"/>
      <c r="J10" s="40"/>
      <c r="L10" s="41"/>
      <c r="M10" s="13"/>
      <c r="N10" s="13"/>
      <c r="O10" s="13"/>
      <c r="P10" s="40"/>
      <c r="U10" s="290" t="s">
        <v>238</v>
      </c>
      <c r="V10" s="203" t="s">
        <v>244</v>
      </c>
      <c r="W10" s="203" t="s">
        <v>316</v>
      </c>
      <c r="X10" s="203" t="s">
        <v>256</v>
      </c>
      <c r="Y10" s="203" t="s">
        <v>330</v>
      </c>
      <c r="Z10" s="203" t="s">
        <v>265</v>
      </c>
      <c r="AA10" s="203" t="s">
        <v>265</v>
      </c>
      <c r="AB10" s="361" t="s">
        <v>322</v>
      </c>
    </row>
    <row r="11" spans="1:38" ht="15.75">
      <c r="A11" s="98" t="s">
        <v>86</v>
      </c>
      <c r="B11" s="150">
        <f>C11/C13</f>
        <v>0.82369254331920128</v>
      </c>
      <c r="C11" s="193">
        <f>Debt!B19</f>
        <v>91250.396034021513</v>
      </c>
      <c r="D11" s="346">
        <f>C11/$H$69</f>
        <v>485.37444698947616</v>
      </c>
      <c r="E11" s="13"/>
      <c r="F11" s="115" t="s">
        <v>216</v>
      </c>
      <c r="G11" s="13"/>
      <c r="H11" s="281">
        <v>14260.449607331708</v>
      </c>
      <c r="I11" s="13"/>
      <c r="J11" s="40"/>
      <c r="L11" s="117" t="s">
        <v>131</v>
      </c>
      <c r="M11" s="13"/>
      <c r="N11" s="258">
        <v>0.03</v>
      </c>
      <c r="O11" s="219"/>
      <c r="P11" s="40"/>
      <c r="U11" s="290" t="s">
        <v>38</v>
      </c>
      <c r="V11" s="203" t="s">
        <v>241</v>
      </c>
      <c r="W11" s="203"/>
      <c r="X11" s="203" t="s">
        <v>317</v>
      </c>
      <c r="Y11" s="203"/>
      <c r="Z11" s="203"/>
      <c r="AA11" s="203"/>
      <c r="AB11" s="361" t="s">
        <v>323</v>
      </c>
    </row>
    <row r="12" spans="1:38" ht="15.75">
      <c r="E12" s="13"/>
      <c r="F12" s="115" t="s">
        <v>11</v>
      </c>
      <c r="G12" s="174"/>
      <c r="H12" s="248">
        <v>4</v>
      </c>
      <c r="I12" s="109"/>
      <c r="J12" s="40"/>
      <c r="L12" s="100"/>
      <c r="M12" s="13"/>
      <c r="N12" s="13"/>
      <c r="O12" s="219"/>
      <c r="P12" s="40"/>
      <c r="U12" s="338"/>
      <c r="V12" s="203" t="s">
        <v>38</v>
      </c>
      <c r="W12" s="13"/>
      <c r="X12" s="203" t="s">
        <v>260</v>
      </c>
      <c r="Y12" s="13"/>
      <c r="Z12" s="13"/>
      <c r="AA12" s="13"/>
      <c r="AB12" s="332"/>
    </row>
    <row r="13" spans="1:38" ht="15.75">
      <c r="A13" s="99" t="s">
        <v>10</v>
      </c>
      <c r="B13" s="147">
        <f>C13/$C$13</f>
        <v>1</v>
      </c>
      <c r="C13" s="194">
        <f>SUM(C10:C11)</f>
        <v>110782.10768585253</v>
      </c>
      <c r="D13" s="452">
        <f>C13/$H$69</f>
        <v>589.26653024389645</v>
      </c>
      <c r="E13" s="13"/>
      <c r="F13" s="115" t="s">
        <v>269</v>
      </c>
      <c r="G13" s="174"/>
      <c r="H13" s="249">
        <v>47</v>
      </c>
      <c r="I13" s="109"/>
      <c r="J13" s="40"/>
      <c r="L13" s="117" t="s">
        <v>88</v>
      </c>
      <c r="M13" s="13"/>
      <c r="N13" s="97"/>
      <c r="O13" s="219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IF(C27&gt;0,1,2)</f>
        <v>1</v>
      </c>
      <c r="AB13" s="360">
        <v>1</v>
      </c>
    </row>
    <row r="14" spans="1:38" ht="15.75">
      <c r="A14" s="541" t="s">
        <v>447</v>
      </c>
      <c r="B14" s="542" t="s">
        <v>265</v>
      </c>
      <c r="C14" s="13"/>
      <c r="D14" s="40"/>
      <c r="E14" s="13"/>
      <c r="F14" s="115" t="s">
        <v>378</v>
      </c>
      <c r="G14" s="174"/>
      <c r="H14" s="248">
        <v>10100</v>
      </c>
      <c r="I14" s="13"/>
      <c r="J14" s="40"/>
      <c r="L14" s="41"/>
      <c r="M14" s="13"/>
      <c r="N14" s="270" t="s">
        <v>201</v>
      </c>
      <c r="O14" s="202" t="s">
        <v>175</v>
      </c>
      <c r="P14" s="199" t="s">
        <v>425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IF(C34&gt;0,10,20)</f>
        <v>10</v>
      </c>
      <c r="AA14" s="292" t="str">
        <f>CHOOSE(AA13,AA9,AA10,AA11,AA12)</f>
        <v>Yes</v>
      </c>
      <c r="AB14" s="328" t="str">
        <f>CHOOSE(AB13,AB9,AB10,AB11,AB12)</f>
        <v>Bank LT Debt</v>
      </c>
    </row>
    <row r="15" spans="1:38" ht="15.75">
      <c r="A15" s="41"/>
      <c r="B15" s="13"/>
      <c r="C15" s="13"/>
      <c r="D15" s="348"/>
      <c r="E15" s="13"/>
      <c r="F15" s="115" t="s">
        <v>379</v>
      </c>
      <c r="G15" s="174"/>
      <c r="H15" s="248">
        <v>10200</v>
      </c>
      <c r="I15" s="109"/>
      <c r="J15" s="40"/>
      <c r="L15" s="100" t="s">
        <v>202</v>
      </c>
      <c r="M15" s="13"/>
      <c r="N15" s="531">
        <v>153.20400000000001</v>
      </c>
      <c r="O15" s="220"/>
      <c r="P15" s="259">
        <v>0.58199999999999996</v>
      </c>
    </row>
    <row r="16" spans="1:38" ht="15.75">
      <c r="A16" s="95" t="s">
        <v>103</v>
      </c>
      <c r="B16" s="13"/>
      <c r="C16" s="13"/>
      <c r="D16" s="348"/>
      <c r="E16" s="13"/>
      <c r="F16" s="115" t="s">
        <v>194</v>
      </c>
      <c r="G16" s="13"/>
      <c r="H16" s="533">
        <v>7</v>
      </c>
      <c r="I16" s="13"/>
      <c r="J16" s="40"/>
      <c r="L16" s="103" t="s">
        <v>250</v>
      </c>
      <c r="M16" s="13"/>
      <c r="N16" s="532">
        <v>576.88400000000001</v>
      </c>
      <c r="O16" s="295"/>
      <c r="P16" s="296">
        <v>1.6439999999999999</v>
      </c>
      <c r="U16" s="330"/>
      <c r="V16" s="57" t="s">
        <v>270</v>
      </c>
      <c r="W16" s="331" t="s">
        <v>271</v>
      </c>
    </row>
    <row r="17" spans="1:23" ht="15.75">
      <c r="A17" s="98" t="s">
        <v>419</v>
      </c>
      <c r="B17" s="13"/>
      <c r="C17" s="13"/>
      <c r="D17" s="348"/>
      <c r="E17" s="13"/>
      <c r="F17" s="115" t="s">
        <v>106</v>
      </c>
      <c r="G17" s="174"/>
      <c r="H17" s="251">
        <v>37012</v>
      </c>
      <c r="I17" s="13"/>
      <c r="J17" s="40"/>
      <c r="L17" s="115" t="s">
        <v>247</v>
      </c>
      <c r="M17" s="6"/>
      <c r="N17" s="273">
        <f>SUM(N15:N16)</f>
        <v>730.08799999999997</v>
      </c>
      <c r="O17" s="221"/>
      <c r="P17" s="297">
        <f>SUM(P15:P16)</f>
        <v>2.226</v>
      </c>
      <c r="U17" s="55" t="s">
        <v>266</v>
      </c>
      <c r="V17" s="13">
        <v>11</v>
      </c>
      <c r="W17" s="332">
        <v>21</v>
      </c>
    </row>
    <row r="18" spans="1:23" ht="15.75">
      <c r="A18" s="100" t="s">
        <v>420</v>
      </c>
      <c r="B18" s="166">
        <f t="shared" ref="B18:B34" si="0">C18/$C$61</f>
        <v>0.51490082307408003</v>
      </c>
      <c r="C18" s="195">
        <f>H11*H12</f>
        <v>57041.798429326831</v>
      </c>
      <c r="D18" s="346">
        <f t="shared" ref="D18:D34" si="1">C18/$H$69</f>
        <v>303.41382143258954</v>
      </c>
      <c r="E18" s="13"/>
      <c r="F18" s="100" t="s">
        <v>134</v>
      </c>
      <c r="G18" s="97"/>
      <c r="H18" s="273">
        <v>8</v>
      </c>
      <c r="I18" s="109"/>
      <c r="J18" s="40"/>
      <c r="L18" s="41"/>
      <c r="M18" s="13"/>
      <c r="N18" s="13"/>
      <c r="O18" s="13"/>
      <c r="P18" s="186" t="s">
        <v>432</v>
      </c>
      <c r="U18" s="333" t="s">
        <v>267</v>
      </c>
      <c r="V18" s="58">
        <v>12</v>
      </c>
      <c r="W18" s="293">
        <v>22</v>
      </c>
    </row>
    <row r="19" spans="1:23" ht="15.75">
      <c r="A19" s="100" t="s">
        <v>258</v>
      </c>
      <c r="B19" s="166">
        <f t="shared" si="0"/>
        <v>2.2386286484389656E-3</v>
      </c>
      <c r="C19" s="195">
        <f>62*H12</f>
        <v>248</v>
      </c>
      <c r="D19" s="346">
        <f t="shared" si="1"/>
        <v>1.3191489361702127</v>
      </c>
      <c r="E19" s="13"/>
      <c r="F19" s="115" t="s">
        <v>105</v>
      </c>
      <c r="G19" s="13"/>
      <c r="H19" s="248">
        <v>20</v>
      </c>
      <c r="I19" s="109"/>
      <c r="J19" s="40"/>
      <c r="L19" s="100" t="s">
        <v>203</v>
      </c>
      <c r="M19" s="13"/>
      <c r="N19" s="250">
        <v>225</v>
      </c>
      <c r="O19" s="269">
        <f t="shared" ref="O19:O25" si="2">N19/$H$69</f>
        <v>1.196808510638298</v>
      </c>
      <c r="P19" s="40"/>
    </row>
    <row r="20" spans="1:23" ht="15.75">
      <c r="A20" s="100" t="s">
        <v>444</v>
      </c>
      <c r="B20" s="166">
        <f t="shared" si="0"/>
        <v>1.6248111158024749E-2</v>
      </c>
      <c r="C20" s="195">
        <f>450*H12</f>
        <v>1800</v>
      </c>
      <c r="D20" s="346">
        <f t="shared" si="1"/>
        <v>9.5744680851063837</v>
      </c>
      <c r="E20" s="13"/>
      <c r="F20" s="115" t="s">
        <v>303</v>
      </c>
      <c r="G20" s="13"/>
      <c r="H20" s="335" t="s">
        <v>430</v>
      </c>
      <c r="I20" s="109"/>
      <c r="J20" s="40"/>
      <c r="L20" s="100" t="s">
        <v>35</v>
      </c>
      <c r="M20" s="13"/>
      <c r="N20" s="250">
        <v>112</v>
      </c>
      <c r="O20" s="269">
        <f t="shared" si="2"/>
        <v>0.5957446808510638</v>
      </c>
      <c r="P20" s="40"/>
    </row>
    <row r="21" spans="1:23" ht="15.75">
      <c r="A21" s="100" t="s">
        <v>177</v>
      </c>
      <c r="B21" s="166">
        <f t="shared" si="0"/>
        <v>0.19696321414894447</v>
      </c>
      <c r="C21" s="246">
        <v>21820</v>
      </c>
      <c r="D21" s="346">
        <f t="shared" si="1"/>
        <v>116.06382978723404</v>
      </c>
      <c r="E21" s="13"/>
      <c r="F21" s="41"/>
      <c r="G21" s="13"/>
      <c r="H21" s="13"/>
      <c r="I21" s="13"/>
      <c r="J21" s="40"/>
      <c r="L21" s="100" t="s">
        <v>36</v>
      </c>
      <c r="M21" s="13"/>
      <c r="N21" s="250">
        <v>100</v>
      </c>
      <c r="O21" s="269">
        <f t="shared" si="2"/>
        <v>0.53191489361702127</v>
      </c>
      <c r="P21" s="40"/>
    </row>
    <row r="22" spans="1:23" ht="15.75">
      <c r="A22" s="100" t="s">
        <v>108</v>
      </c>
      <c r="B22" s="166">
        <f t="shared" si="0"/>
        <v>1.3540092631687291E-2</v>
      </c>
      <c r="C22" s="246">
        <v>1500</v>
      </c>
      <c r="D22" s="346">
        <f t="shared" si="1"/>
        <v>7.9787234042553195</v>
      </c>
      <c r="E22" s="13"/>
      <c r="F22" s="114" t="s">
        <v>433</v>
      </c>
      <c r="G22" s="13"/>
      <c r="H22" s="325"/>
      <c r="I22" s="13"/>
      <c r="J22" s="40"/>
      <c r="L22" s="100" t="s">
        <v>352</v>
      </c>
      <c r="M22" s="13"/>
      <c r="N22" s="250"/>
      <c r="O22" s="269">
        <f t="shared" si="2"/>
        <v>0</v>
      </c>
      <c r="P22" s="40"/>
    </row>
    <row r="23" spans="1:23" ht="15.75">
      <c r="A23" s="100" t="s">
        <v>109</v>
      </c>
      <c r="B23" s="166">
        <f t="shared" si="0"/>
        <v>1.0245336757976717E-2</v>
      </c>
      <c r="C23" s="246">
        <v>1135</v>
      </c>
      <c r="D23" s="346">
        <f t="shared" si="1"/>
        <v>6.0372340425531918</v>
      </c>
      <c r="E23" s="13"/>
      <c r="F23" s="324" t="s">
        <v>257</v>
      </c>
      <c r="G23" s="174"/>
      <c r="H23" s="323">
        <v>5</v>
      </c>
      <c r="I23" s="357"/>
      <c r="J23" s="40"/>
      <c r="L23" s="100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0" t="s">
        <v>110</v>
      </c>
      <c r="B24" s="166">
        <f t="shared" si="0"/>
        <v>7.2213827368998895E-2</v>
      </c>
      <c r="C24" s="246">
        <v>8000</v>
      </c>
      <c r="D24" s="346">
        <f t="shared" si="1"/>
        <v>42.553191489361701</v>
      </c>
      <c r="E24" s="13"/>
      <c r="F24" s="324" t="s">
        <v>377</v>
      </c>
      <c r="G24" s="13"/>
      <c r="H24" s="356">
        <v>0.2</v>
      </c>
      <c r="I24" s="109"/>
      <c r="J24" s="40"/>
      <c r="L24" s="100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0" t="s">
        <v>111</v>
      </c>
      <c r="B25" s="166">
        <f t="shared" si="0"/>
        <v>0</v>
      </c>
      <c r="C25" s="246">
        <v>0</v>
      </c>
      <c r="D25" s="346">
        <f t="shared" si="1"/>
        <v>0</v>
      </c>
      <c r="E25" s="13"/>
      <c r="F25" s="245" t="s">
        <v>199</v>
      </c>
      <c r="G25" s="42"/>
      <c r="H25" s="355">
        <v>200</v>
      </c>
      <c r="I25" s="42"/>
      <c r="J25" s="81"/>
      <c r="L25" s="103" t="s">
        <v>435</v>
      </c>
      <c r="M25" s="215"/>
      <c r="N25" s="294">
        <v>93</v>
      </c>
      <c r="O25" s="298">
        <f t="shared" si="2"/>
        <v>0.49468085106382981</v>
      </c>
      <c r="P25" s="40"/>
    </row>
    <row r="26" spans="1:23" ht="16.5" thickBot="1">
      <c r="A26" s="100" t="s">
        <v>112</v>
      </c>
      <c r="B26" s="166">
        <f t="shared" si="0"/>
        <v>0</v>
      </c>
      <c r="C26" s="246">
        <v>0</v>
      </c>
      <c r="D26" s="346">
        <f t="shared" si="1"/>
        <v>0</v>
      </c>
      <c r="E26" s="13"/>
      <c r="L26" s="115" t="s">
        <v>248</v>
      </c>
      <c r="M26" s="6"/>
      <c r="N26" s="273">
        <f>SUM(N19:N25)</f>
        <v>530</v>
      </c>
      <c r="O26" s="299">
        <f>SUM(O19:O25)</f>
        <v>2.8191489361702127</v>
      </c>
      <c r="P26" s="362"/>
    </row>
    <row r="27" spans="1:23" ht="15.75">
      <c r="A27" s="100" t="s">
        <v>335</v>
      </c>
      <c r="B27" s="166">
        <f t="shared" si="0"/>
        <v>1.3540092631687291E-2</v>
      </c>
      <c r="C27" s="246">
        <v>1500</v>
      </c>
      <c r="D27" s="346">
        <f t="shared" si="1"/>
        <v>7.9787234042553195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0" t="s">
        <v>113</v>
      </c>
      <c r="B28" s="166">
        <f t="shared" si="0"/>
        <v>0</v>
      </c>
      <c r="C28" s="246">
        <v>0</v>
      </c>
      <c r="D28" s="346">
        <f t="shared" si="1"/>
        <v>0</v>
      </c>
      <c r="E28" s="13"/>
      <c r="F28" s="353" t="s">
        <v>115</v>
      </c>
      <c r="G28" s="354"/>
      <c r="H28" s="354" t="s">
        <v>320</v>
      </c>
      <c r="I28" s="178"/>
      <c r="J28" s="329"/>
      <c r="L28" s="117" t="s">
        <v>89</v>
      </c>
      <c r="M28" s="13"/>
      <c r="N28" s="160"/>
      <c r="O28" s="221"/>
      <c r="P28" s="40"/>
      <c r="R28" s="3"/>
    </row>
    <row r="29" spans="1:23" ht="15.75">
      <c r="A29" s="100" t="s">
        <v>445</v>
      </c>
      <c r="B29" s="166">
        <f t="shared" si="0"/>
        <v>2.1212811789643425E-2</v>
      </c>
      <c r="C29" s="246">
        <v>2350</v>
      </c>
      <c r="D29" s="346">
        <f t="shared" si="1"/>
        <v>12.5</v>
      </c>
      <c r="E29" s="13"/>
      <c r="F29" s="324" t="s">
        <v>84</v>
      </c>
      <c r="G29" s="251">
        <v>36800</v>
      </c>
      <c r="H29" s="352"/>
      <c r="I29" s="178"/>
      <c r="J29" s="329"/>
      <c r="L29" s="100" t="s">
        <v>237</v>
      </c>
      <c r="M29" s="13"/>
      <c r="N29" s="273">
        <f>IS!C16</f>
        <v>15620.343563212498</v>
      </c>
      <c r="O29" s="221">
        <f>N29/$H$69</f>
        <v>83.086933846874985</v>
      </c>
      <c r="P29" s="40"/>
      <c r="R29" s="340"/>
    </row>
    <row r="30" spans="1:23" ht="15.75">
      <c r="A30" s="41" t="s">
        <v>446</v>
      </c>
      <c r="B30" s="166">
        <f t="shared" si="0"/>
        <v>1.3540092631687291E-2</v>
      </c>
      <c r="C30" s="246">
        <v>1500</v>
      </c>
      <c r="D30" s="346">
        <f t="shared" si="1"/>
        <v>7.9787234042553195</v>
      </c>
      <c r="E30" s="13"/>
      <c r="F30" s="324" t="s">
        <v>127</v>
      </c>
      <c r="G30" s="251">
        <v>36571</v>
      </c>
      <c r="H30" s="352"/>
      <c r="I30" s="178"/>
      <c r="J30" s="329"/>
      <c r="L30" s="100" t="s">
        <v>215</v>
      </c>
      <c r="M30" s="13"/>
      <c r="N30" s="273">
        <f>IS!C23/IS!C6</f>
        <v>600</v>
      </c>
      <c r="O30" s="221">
        <f>N30/$H$69</f>
        <v>3.1914893617021276</v>
      </c>
      <c r="P30" s="530">
        <v>0.02</v>
      </c>
      <c r="R30" s="3"/>
    </row>
    <row r="31" spans="1:23" ht="15.75">
      <c r="A31" s="100" t="s">
        <v>178</v>
      </c>
      <c r="B31" s="166">
        <f t="shared" si="0"/>
        <v>0</v>
      </c>
      <c r="C31" s="246">
        <v>0</v>
      </c>
      <c r="D31" s="346">
        <f t="shared" si="1"/>
        <v>0</v>
      </c>
      <c r="E31" s="13"/>
      <c r="F31" s="41"/>
      <c r="G31" s="13"/>
      <c r="H31" s="6"/>
      <c r="I31" s="178"/>
      <c r="J31" s="329"/>
      <c r="L31" s="100" t="s">
        <v>205</v>
      </c>
      <c r="M31" s="13"/>
      <c r="N31" s="273">
        <f>IS!C24/IS!C6</f>
        <v>0</v>
      </c>
      <c r="O31" s="221">
        <f>N31/$H$69</f>
        <v>0</v>
      </c>
      <c r="P31" s="40"/>
      <c r="R31" s="3"/>
    </row>
    <row r="32" spans="1:23" ht="15.75">
      <c r="A32" s="100" t="s">
        <v>179</v>
      </c>
      <c r="B32" s="166">
        <f t="shared" si="0"/>
        <v>1.8053456842249723E-3</v>
      </c>
      <c r="C32" s="246">
        <v>200</v>
      </c>
      <c r="D32" s="346">
        <f t="shared" si="1"/>
        <v>1.0638297872340425</v>
      </c>
      <c r="E32" s="13"/>
      <c r="F32" s="104" t="s">
        <v>14</v>
      </c>
      <c r="G32" s="105">
        <f>Debt!B19</f>
        <v>91250.396034021513</v>
      </c>
      <c r="H32" s="105"/>
      <c r="I32" s="178"/>
      <c r="J32" s="329"/>
      <c r="L32" s="100" t="s">
        <v>209</v>
      </c>
      <c r="M32" s="13"/>
      <c r="N32" s="273">
        <f>IS!C25/IS!C6</f>
        <v>0</v>
      </c>
      <c r="O32" s="221">
        <f>N32/$H$69</f>
        <v>0</v>
      </c>
      <c r="P32" s="40"/>
      <c r="Q32" s="66"/>
      <c r="R32" s="3"/>
    </row>
    <row r="33" spans="1:18" ht="16.5" thickBot="1">
      <c r="A33" s="100" t="s">
        <v>469</v>
      </c>
      <c r="B33" s="166">
        <f t="shared" si="0"/>
        <v>0</v>
      </c>
      <c r="C33" s="246">
        <f>IF(B14="Yes",Turbo!F15,0)</f>
        <v>0</v>
      </c>
      <c r="D33" s="346">
        <f t="shared" si="1"/>
        <v>0</v>
      </c>
      <c r="E33" s="13"/>
      <c r="F33" s="104" t="s">
        <v>15</v>
      </c>
      <c r="G33" s="252">
        <v>20</v>
      </c>
      <c r="H33" s="105"/>
      <c r="I33" s="178"/>
      <c r="J33" s="329"/>
      <c r="L33" s="102" t="s">
        <v>427</v>
      </c>
      <c r="M33" s="42"/>
      <c r="N33" s="276">
        <f>IS!C26/IS!C6</f>
        <v>80.573226367445926</v>
      </c>
      <c r="O33" s="222">
        <f>N33/$H$69</f>
        <v>0.42858099131620175</v>
      </c>
      <c r="P33" s="81"/>
      <c r="R33" s="3"/>
    </row>
    <row r="34" spans="1:18" ht="16.5" thickBot="1">
      <c r="A34" s="100" t="s">
        <v>426</v>
      </c>
      <c r="B34" s="182">
        <f t="shared" si="0"/>
        <v>3.6657544118188064E-2</v>
      </c>
      <c r="C34" s="247">
        <f>IF(B14="Yes",0,4061)</f>
        <v>4061</v>
      </c>
      <c r="D34" s="347">
        <f t="shared" si="1"/>
        <v>21.601063829787233</v>
      </c>
      <c r="E34" s="13"/>
      <c r="F34" s="104" t="s">
        <v>16</v>
      </c>
      <c r="G34" s="352">
        <v>42826</v>
      </c>
      <c r="H34" s="352"/>
      <c r="I34" s="178"/>
      <c r="J34" s="329"/>
      <c r="N34" s="197"/>
      <c r="R34" s="3"/>
    </row>
    <row r="35" spans="1:18" ht="15.75">
      <c r="A35" s="100" t="s">
        <v>107</v>
      </c>
      <c r="B35" s="166">
        <f>SUM(B18:B34)</f>
        <v>0.9131059206435822</v>
      </c>
      <c r="C35" s="195">
        <f>SUM(C18:C34)</f>
        <v>101155.79842932682</v>
      </c>
      <c r="D35" s="346">
        <f>SUM(D18:D34)</f>
        <v>538.06275760280232</v>
      </c>
      <c r="E35" s="13"/>
      <c r="F35" s="104" t="s">
        <v>17</v>
      </c>
      <c r="G35" s="120">
        <f>Debt!E66</f>
        <v>4.621157362916688</v>
      </c>
      <c r="H35" s="381" t="str">
        <f>IF(H32,Debt!#REF!," ")</f>
        <v xml:space="preserve"> </v>
      </c>
      <c r="I35" s="178"/>
      <c r="J35" s="329"/>
      <c r="L35" s="93" t="s">
        <v>22</v>
      </c>
      <c r="M35" s="113"/>
      <c r="N35" s="260"/>
      <c r="O35" s="118"/>
      <c r="P35" s="39"/>
      <c r="R35" s="5"/>
    </row>
    <row r="36" spans="1:18" ht="15.75">
      <c r="A36" s="41"/>
      <c r="B36" s="13"/>
      <c r="C36" s="13"/>
      <c r="D36" s="40"/>
      <c r="E36" s="13"/>
      <c r="F36" s="104"/>
      <c r="G36" s="13"/>
      <c r="H36" s="13"/>
      <c r="I36" s="178"/>
      <c r="J36" s="329"/>
      <c r="L36" s="41"/>
      <c r="M36" s="167"/>
      <c r="N36" s="13"/>
      <c r="O36" s="13"/>
      <c r="P36" s="40"/>
      <c r="R36" s="5"/>
    </row>
    <row r="37" spans="1:18" ht="15.75">
      <c r="A37" s="41"/>
      <c r="B37" s="13"/>
      <c r="C37" s="13"/>
      <c r="D37" s="40"/>
      <c r="E37" s="13"/>
      <c r="F37" s="100" t="s">
        <v>18</v>
      </c>
      <c r="G37" s="253">
        <v>6.5000000000000002E-2</v>
      </c>
      <c r="H37" s="253">
        <v>6.5000000000000002E-2</v>
      </c>
      <c r="I37" s="178"/>
      <c r="J37" s="329"/>
      <c r="L37" s="100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75">
      <c r="A38" s="98" t="s">
        <v>380</v>
      </c>
      <c r="B38" s="13"/>
      <c r="C38" s="13"/>
      <c r="D38" s="349"/>
      <c r="E38" s="13"/>
      <c r="F38" s="100" t="s">
        <v>19</v>
      </c>
      <c r="G38" s="254">
        <v>1.7500000000000002E-2</v>
      </c>
      <c r="H38" s="254">
        <v>1.7500000000000002E-2</v>
      </c>
      <c r="I38" s="178"/>
      <c r="J38" s="329"/>
      <c r="L38" s="114" t="s">
        <v>26</v>
      </c>
      <c r="M38" s="13"/>
      <c r="N38" s="261"/>
      <c r="O38" s="261"/>
      <c r="P38" s="101"/>
      <c r="R38" s="13"/>
    </row>
    <row r="39" spans="1:18" ht="15.75">
      <c r="A39" s="100" t="s">
        <v>114</v>
      </c>
      <c r="B39" s="166">
        <f t="shared" ref="B39:B52" si="3">C39/$C$61</f>
        <v>1.1734746947462319E-2</v>
      </c>
      <c r="C39" s="246">
        <v>1300</v>
      </c>
      <c r="D39" s="346">
        <f t="shared" ref="D39:D53" si="4">C39/$H$69</f>
        <v>6.9148936170212769</v>
      </c>
      <c r="E39" s="13"/>
      <c r="F39" s="104" t="s">
        <v>325</v>
      </c>
      <c r="G39" s="106">
        <f>Debt!E64</f>
        <v>8.2500000000000004E-2</v>
      </c>
      <c r="H39" s="106">
        <f>SUM(H37:H38)</f>
        <v>8.2500000000000004E-2</v>
      </c>
      <c r="I39" s="178"/>
      <c r="J39" s="329"/>
      <c r="L39" s="115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98" t="s">
        <v>441</v>
      </c>
      <c r="B40" s="166">
        <f t="shared" si="3"/>
        <v>2.0310138947530936E-3</v>
      </c>
      <c r="C40" s="246">
        <v>225</v>
      </c>
      <c r="D40" s="346">
        <f t="shared" si="4"/>
        <v>1.196808510638298</v>
      </c>
      <c r="E40" s="13"/>
      <c r="F40" s="100"/>
      <c r="G40" s="97"/>
      <c r="H40" s="97"/>
      <c r="I40" s="97"/>
      <c r="J40" s="185"/>
      <c r="L40" s="115" t="s">
        <v>253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8" t="s">
        <v>172</v>
      </c>
      <c r="B41" s="166">
        <f t="shared" si="3"/>
        <v>0</v>
      </c>
      <c r="C41" s="246">
        <v>0</v>
      </c>
      <c r="D41" s="346">
        <f t="shared" si="4"/>
        <v>0</v>
      </c>
      <c r="E41" s="13"/>
      <c r="F41" s="100" t="s">
        <v>128</v>
      </c>
      <c r="G41" s="252">
        <v>4028.6613183722961</v>
      </c>
      <c r="H41" s="252">
        <v>6</v>
      </c>
      <c r="I41" s="97" t="s">
        <v>129</v>
      </c>
      <c r="J41" s="186"/>
      <c r="L41" s="115" t="s">
        <v>29</v>
      </c>
      <c r="M41" s="13"/>
      <c r="N41" s="271">
        <v>20</v>
      </c>
      <c r="O41" s="262" t="s">
        <v>30</v>
      </c>
      <c r="P41" s="187">
        <v>0</v>
      </c>
      <c r="R41" s="340"/>
    </row>
    <row r="42" spans="1:18" ht="15.75">
      <c r="A42" s="98" t="s">
        <v>166</v>
      </c>
      <c r="B42" s="166">
        <f t="shared" si="3"/>
        <v>5.4160370526749168E-3</v>
      </c>
      <c r="C42" s="246">
        <v>600</v>
      </c>
      <c r="D42" s="346">
        <f t="shared" si="4"/>
        <v>3.1914893617021276</v>
      </c>
      <c r="E42" s="13"/>
      <c r="F42" s="100" t="s">
        <v>20</v>
      </c>
      <c r="G42" s="255">
        <v>0.02</v>
      </c>
      <c r="H42" s="97"/>
      <c r="I42" s="97"/>
      <c r="J42" s="186"/>
      <c r="L42" s="115"/>
      <c r="M42" s="13"/>
      <c r="N42" s="263"/>
      <c r="O42" s="263"/>
      <c r="P42" s="264"/>
      <c r="R42" s="223"/>
    </row>
    <row r="43" spans="1:18" ht="15.75">
      <c r="A43" s="100" t="s">
        <v>436</v>
      </c>
      <c r="B43" s="166">
        <f t="shared" si="3"/>
        <v>0</v>
      </c>
      <c r="C43" s="246">
        <v>0</v>
      </c>
      <c r="D43" s="346">
        <f t="shared" si="4"/>
        <v>0</v>
      </c>
      <c r="E43" s="13"/>
      <c r="F43" s="100" t="s">
        <v>21</v>
      </c>
      <c r="G43" s="255">
        <v>0</v>
      </c>
      <c r="H43" s="13"/>
      <c r="I43" s="13"/>
      <c r="J43" s="40"/>
      <c r="L43" s="114" t="s">
        <v>31</v>
      </c>
      <c r="M43" s="13"/>
      <c r="N43" s="263"/>
      <c r="O43" s="263"/>
      <c r="P43" s="188"/>
    </row>
    <row r="44" spans="1:18" ht="15.75">
      <c r="A44" s="98" t="s">
        <v>167</v>
      </c>
      <c r="B44" s="166">
        <f t="shared" si="3"/>
        <v>0</v>
      </c>
      <c r="C44" s="246">
        <v>0</v>
      </c>
      <c r="D44" s="346">
        <f t="shared" si="4"/>
        <v>0</v>
      </c>
      <c r="E44" s="13"/>
      <c r="F44" s="41"/>
      <c r="G44" s="13"/>
      <c r="H44" s="13"/>
      <c r="I44" s="13"/>
      <c r="J44" s="40"/>
      <c r="L44" s="115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8" t="s">
        <v>176</v>
      </c>
      <c r="B45" s="166">
        <f t="shared" si="3"/>
        <v>0</v>
      </c>
      <c r="C45" s="246">
        <v>0</v>
      </c>
      <c r="D45" s="346">
        <f t="shared" si="4"/>
        <v>0</v>
      </c>
      <c r="E45" s="13"/>
      <c r="F45" s="353" t="s">
        <v>116</v>
      </c>
      <c r="G45" s="13"/>
      <c r="H45" s="13"/>
      <c r="I45" s="13"/>
      <c r="J45" s="40"/>
      <c r="L45" s="115" t="s">
        <v>253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98" t="s">
        <v>168</v>
      </c>
      <c r="B46" s="166">
        <f t="shared" si="3"/>
        <v>0</v>
      </c>
      <c r="C46" s="246">
        <v>0</v>
      </c>
      <c r="D46" s="346">
        <f t="shared" si="4"/>
        <v>0</v>
      </c>
      <c r="E46" s="13"/>
      <c r="F46" s="324" t="s">
        <v>85</v>
      </c>
      <c r="G46" s="251">
        <v>36617</v>
      </c>
      <c r="H46" s="13"/>
      <c r="I46" s="13"/>
      <c r="J46" s="40"/>
      <c r="L46" s="116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98" t="s">
        <v>169</v>
      </c>
      <c r="B47" s="166">
        <f t="shared" si="3"/>
        <v>1.3540092631687292E-3</v>
      </c>
      <c r="C47" s="246">
        <v>150</v>
      </c>
      <c r="D47" s="346">
        <f t="shared" si="4"/>
        <v>0.7978723404255319</v>
      </c>
      <c r="E47" s="13"/>
      <c r="F47" s="100" t="s">
        <v>12</v>
      </c>
      <c r="G47" s="256">
        <v>0</v>
      </c>
      <c r="H47" s="143">
        <f>G47*C10</f>
        <v>0</v>
      </c>
      <c r="I47" s="13"/>
      <c r="J47" s="40"/>
    </row>
    <row r="48" spans="1:18" ht="16.5" thickBot="1">
      <c r="A48" s="98" t="s">
        <v>173</v>
      </c>
      <c r="B48" s="166">
        <f t="shared" si="3"/>
        <v>1.8053456842249721E-4</v>
      </c>
      <c r="C48" s="246">
        <v>20</v>
      </c>
      <c r="D48" s="346">
        <f t="shared" si="4"/>
        <v>0.10638297872340426</v>
      </c>
      <c r="E48" s="64"/>
      <c r="F48" s="102" t="s">
        <v>13</v>
      </c>
      <c r="G48" s="268">
        <f>1-G47</f>
        <v>1</v>
      </c>
      <c r="H48" s="144">
        <f>G48*C10</f>
        <v>19531.711651831021</v>
      </c>
      <c r="I48" s="42"/>
      <c r="J48" s="81"/>
      <c r="L48" s="93" t="s">
        <v>381</v>
      </c>
      <c r="M48" s="113"/>
      <c r="N48" s="278"/>
      <c r="O48" s="279"/>
      <c r="P48" s="363"/>
    </row>
    <row r="49" spans="1:16" ht="16.5" thickBot="1">
      <c r="A49" s="100" t="s">
        <v>217</v>
      </c>
      <c r="B49" s="166">
        <f t="shared" si="3"/>
        <v>2.9138362899534753E-2</v>
      </c>
      <c r="C49" s="195">
        <f>IDC!H34</f>
        <v>3228.0092565257091</v>
      </c>
      <c r="D49" s="346">
        <f t="shared" si="4"/>
        <v>17.170262002796324</v>
      </c>
      <c r="E49" s="43"/>
      <c r="L49" s="180"/>
      <c r="M49" s="174"/>
      <c r="N49" s="156"/>
      <c r="O49" s="6"/>
      <c r="P49" s="362"/>
    </row>
    <row r="50" spans="1:16" ht="15.75">
      <c r="A50" s="100" t="s">
        <v>180</v>
      </c>
      <c r="B50" s="166">
        <f t="shared" si="3"/>
        <v>9.0267284211248619E-3</v>
      </c>
      <c r="C50" s="246">
        <v>1000</v>
      </c>
      <c r="D50" s="346">
        <f t="shared" si="4"/>
        <v>5.3191489361702127</v>
      </c>
      <c r="E50" s="13"/>
      <c r="F50" s="93" t="s">
        <v>200</v>
      </c>
      <c r="G50" s="112"/>
      <c r="H50" s="118"/>
      <c r="I50" s="200"/>
      <c r="J50" s="39"/>
      <c r="L50" s="115" t="s">
        <v>132</v>
      </c>
      <c r="M50" s="6"/>
      <c r="N50" s="261">
        <v>0.35</v>
      </c>
      <c r="O50" s="6"/>
      <c r="P50" s="362"/>
    </row>
    <row r="51" spans="1:16" ht="15.75">
      <c r="A51" s="100" t="s">
        <v>274</v>
      </c>
      <c r="B51" s="166">
        <f t="shared" si="3"/>
        <v>1.8985917888151922E-2</v>
      </c>
      <c r="C51" s="195">
        <f>SUM(C21:C34)*N55</f>
        <v>2103.3000000000002</v>
      </c>
      <c r="D51" s="346">
        <f t="shared" si="4"/>
        <v>11.187765957446809</v>
      </c>
      <c r="E51" s="84"/>
      <c r="F51" s="41"/>
      <c r="G51" s="13"/>
      <c r="H51" s="13"/>
      <c r="I51" s="109"/>
      <c r="J51" s="40"/>
      <c r="L51" s="115" t="s">
        <v>288</v>
      </c>
      <c r="M51" s="6"/>
      <c r="N51" s="258">
        <v>7.0000000000000007E-2</v>
      </c>
      <c r="O51" s="364" t="s">
        <v>235</v>
      </c>
      <c r="P51" s="362"/>
    </row>
    <row r="52" spans="1:16" ht="15.75">
      <c r="A52" s="95" t="s">
        <v>181</v>
      </c>
      <c r="B52" s="182">
        <f t="shared" si="3"/>
        <v>0</v>
      </c>
      <c r="C52" s="247">
        <v>0</v>
      </c>
      <c r="D52" s="347">
        <f t="shared" si="4"/>
        <v>0</v>
      </c>
      <c r="E52" s="84"/>
      <c r="F52" s="103" t="s">
        <v>304</v>
      </c>
      <c r="G52" s="13"/>
      <c r="H52" s="13"/>
      <c r="I52" s="13"/>
      <c r="J52" s="40"/>
      <c r="L52" s="115" t="s">
        <v>255</v>
      </c>
      <c r="M52" s="6"/>
      <c r="N52" s="258">
        <v>0</v>
      </c>
      <c r="O52" s="364" t="s">
        <v>235</v>
      </c>
      <c r="P52" s="362"/>
    </row>
    <row r="53" spans="1:16" ht="15.75">
      <c r="A53" s="100" t="s">
        <v>107</v>
      </c>
      <c r="B53" s="166">
        <f>SUM(B39:B52)</f>
        <v>7.7867350935293095E-2</v>
      </c>
      <c r="C53" s="195">
        <f>SUM(C39:C52)</f>
        <v>8626.3092565257102</v>
      </c>
      <c r="D53" s="346">
        <f t="shared" si="4"/>
        <v>45.884623704923989</v>
      </c>
      <c r="E53" s="13"/>
      <c r="F53" s="100" t="s">
        <v>306</v>
      </c>
      <c r="G53" s="13"/>
      <c r="H53" s="250">
        <v>20</v>
      </c>
      <c r="I53" s="109"/>
      <c r="J53" s="40"/>
      <c r="L53" s="115" t="s">
        <v>210</v>
      </c>
      <c r="M53" s="6"/>
      <c r="N53" s="258">
        <v>0</v>
      </c>
      <c r="O53" s="364" t="s">
        <v>235</v>
      </c>
      <c r="P53" s="362"/>
    </row>
    <row r="54" spans="1:16" ht="15.75">
      <c r="A54" s="41"/>
      <c r="B54" s="13"/>
      <c r="C54" s="13"/>
      <c r="D54" s="40"/>
      <c r="E54" s="13"/>
      <c r="F54" s="100" t="s">
        <v>416</v>
      </c>
      <c r="G54" s="13"/>
      <c r="H54" s="249">
        <v>6.52</v>
      </c>
      <c r="I54" s="13"/>
      <c r="J54" s="40"/>
      <c r="L54" s="115" t="s">
        <v>240</v>
      </c>
      <c r="M54" s="13"/>
      <c r="N54" s="258">
        <v>1.4999999999999999E-2</v>
      </c>
      <c r="O54" s="364" t="s">
        <v>235</v>
      </c>
      <c r="P54" s="40"/>
    </row>
    <row r="55" spans="1:16" ht="16.5" thickBot="1">
      <c r="A55" s="98" t="s">
        <v>101</v>
      </c>
      <c r="B55" s="13"/>
      <c r="C55" s="195"/>
      <c r="D55" s="348"/>
      <c r="E55" s="13"/>
      <c r="F55" s="41"/>
      <c r="G55" s="13"/>
      <c r="H55" s="13"/>
      <c r="I55" s="13"/>
      <c r="J55" s="40"/>
      <c r="L55" s="116" t="s">
        <v>275</v>
      </c>
      <c r="M55" s="42"/>
      <c r="N55" s="274">
        <v>0.05</v>
      </c>
      <c r="O55" s="365" t="s">
        <v>235</v>
      </c>
      <c r="P55" s="81"/>
    </row>
    <row r="56" spans="1:16" ht="15.75">
      <c r="A56" s="98" t="s">
        <v>170</v>
      </c>
      <c r="B56" s="166">
        <f>C56/$C$61</f>
        <v>0</v>
      </c>
      <c r="C56" s="246">
        <v>0</v>
      </c>
      <c r="D56" s="346">
        <f>C56/$H$69</f>
        <v>0</v>
      </c>
      <c r="E56" s="13"/>
      <c r="F56" s="103" t="s">
        <v>307</v>
      </c>
      <c r="G56" s="13"/>
      <c r="H56" s="13"/>
      <c r="I56" s="13"/>
      <c r="J56" s="40"/>
    </row>
    <row r="57" spans="1:16" ht="15.75">
      <c r="A57" s="98" t="s">
        <v>171</v>
      </c>
      <c r="B57" s="166">
        <f>C57/$C$61</f>
        <v>0</v>
      </c>
      <c r="C57" s="246">
        <v>0</v>
      </c>
      <c r="D57" s="346">
        <f>C57/$H$69</f>
        <v>0</v>
      </c>
      <c r="E57" s="13"/>
      <c r="F57" s="100" t="s">
        <v>306</v>
      </c>
      <c r="G57" s="13"/>
      <c r="H57" s="273">
        <f>H19-H53</f>
        <v>0</v>
      </c>
      <c r="I57" s="109"/>
      <c r="J57" s="40"/>
    </row>
    <row r="58" spans="1:16" ht="15.75">
      <c r="A58" s="103" t="s">
        <v>434</v>
      </c>
      <c r="B58" s="182">
        <f>C58/$C$61</f>
        <v>9.0267284211248619E-3</v>
      </c>
      <c r="C58" s="247">
        <v>1000</v>
      </c>
      <c r="D58" s="346">
        <f>C58/$H$69</f>
        <v>5.3191489361702127</v>
      </c>
      <c r="E58" s="13"/>
      <c r="F58" s="100" t="s">
        <v>416</v>
      </c>
      <c r="G58" s="97"/>
      <c r="H58" s="153"/>
      <c r="I58" s="109"/>
      <c r="J58" s="40"/>
    </row>
    <row r="59" spans="1:16" ht="15.75">
      <c r="A59" s="100" t="s">
        <v>107</v>
      </c>
      <c r="B59" s="166">
        <f>SUM(B56:B58)</f>
        <v>9.0267284211248619E-3</v>
      </c>
      <c r="C59" s="110">
        <f>SUM(C56:C58)</f>
        <v>1000</v>
      </c>
      <c r="D59" s="346">
        <f>C59/$H$69</f>
        <v>5.3191489361702127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9"/>
      <c r="E60" s="13"/>
      <c r="F60" s="100" t="s">
        <v>424</v>
      </c>
      <c r="G60" s="97"/>
      <c r="H60" s="153">
        <f>P17</f>
        <v>2.226</v>
      </c>
      <c r="I60" s="109"/>
      <c r="J60" s="40"/>
    </row>
    <row r="61" spans="1:16" ht="16.5" thickBot="1">
      <c r="A61" s="184" t="s">
        <v>102</v>
      </c>
      <c r="B61" s="181">
        <f>B59+B53+B35</f>
        <v>1.0000000000000002</v>
      </c>
      <c r="C61" s="196">
        <f>C59+C53+C35</f>
        <v>110782.10768585253</v>
      </c>
      <c r="D61" s="350">
        <f>C61/$H$69</f>
        <v>589.26653024389645</v>
      </c>
      <c r="E61" s="13"/>
      <c r="F61" s="100"/>
      <c r="G61" s="13"/>
      <c r="H61" s="261"/>
      <c r="I61" s="109"/>
      <c r="J61" s="40"/>
    </row>
    <row r="62" spans="1:16" ht="16.5" thickBot="1">
      <c r="E62" s="13"/>
      <c r="F62" s="102" t="s">
        <v>431</v>
      </c>
      <c r="G62" s="42"/>
      <c r="H62" s="275">
        <f>H69*H73</f>
        <v>470000</v>
      </c>
      <c r="I62" s="201"/>
      <c r="J62" s="81"/>
    </row>
    <row r="63" spans="1:16" ht="13.5" thickBot="1">
      <c r="E63" s="13"/>
    </row>
    <row r="64" spans="1:16" ht="15.75">
      <c r="A64" s="94" t="s">
        <v>32</v>
      </c>
      <c r="B64" s="118"/>
      <c r="C64" s="200"/>
      <c r="D64" s="119"/>
      <c r="E64" s="13"/>
      <c r="F64" s="93" t="s">
        <v>5</v>
      </c>
      <c r="G64" s="198"/>
      <c r="H64" s="200"/>
      <c r="I64" s="38"/>
      <c r="J64" s="39"/>
    </row>
    <row r="65" spans="1:10" ht="15.75">
      <c r="A65" s="41"/>
      <c r="B65" s="13"/>
      <c r="C65" s="13"/>
      <c r="D65" s="40"/>
      <c r="E65" s="13"/>
      <c r="F65" s="180"/>
      <c r="G65" s="151"/>
      <c r="H65" s="109"/>
      <c r="I65" s="13"/>
      <c r="J65" s="40"/>
    </row>
    <row r="66" spans="1:10" ht="15.75">
      <c r="A66" s="341" t="s">
        <v>272</v>
      </c>
      <c r="B66" s="342"/>
      <c r="C66" s="343">
        <f>D61</f>
        <v>589.26653024389645</v>
      </c>
      <c r="D66" s="40"/>
      <c r="E66" s="13"/>
      <c r="F66" s="100" t="s">
        <v>130</v>
      </c>
      <c r="G66" s="13"/>
      <c r="H66" s="218">
        <f>H12*H13</f>
        <v>188</v>
      </c>
      <c r="I66" s="13"/>
      <c r="J66" s="40"/>
    </row>
    <row r="67" spans="1:10" ht="15.75">
      <c r="A67" s="522"/>
      <c r="B67" s="178"/>
      <c r="C67" s="178"/>
      <c r="D67" s="40"/>
      <c r="E67" s="13"/>
      <c r="F67" s="100" t="s">
        <v>470</v>
      </c>
      <c r="G67" s="13"/>
      <c r="H67" s="174">
        <f>IF(B14="yes",Turbo!F21,0)</f>
        <v>0</v>
      </c>
      <c r="I67" s="13"/>
      <c r="J67" s="40"/>
    </row>
    <row r="68" spans="1:10" ht="15.75">
      <c r="A68" s="100"/>
      <c r="B68" s="97"/>
      <c r="C68" s="96" t="s">
        <v>34</v>
      </c>
      <c r="D68" s="169" t="s">
        <v>33</v>
      </c>
      <c r="E68" s="13"/>
      <c r="F68" s="103" t="s">
        <v>90</v>
      </c>
      <c r="G68" s="13"/>
      <c r="H68" s="339">
        <v>0</v>
      </c>
      <c r="I68" s="13"/>
      <c r="J68" s="40"/>
    </row>
    <row r="69" spans="1:10" ht="15.75">
      <c r="A69" s="103" t="s">
        <v>0</v>
      </c>
      <c r="B69" s="107"/>
      <c r="C69" s="108">
        <f>Debt!E68</f>
        <v>1.3000000000000003</v>
      </c>
      <c r="D69" s="351">
        <f>Debt!E69</f>
        <v>1.2999999999999972</v>
      </c>
      <c r="E69" s="13"/>
      <c r="F69" s="117" t="s">
        <v>310</v>
      </c>
      <c r="G69" s="43"/>
      <c r="H69" s="358">
        <f>SUM(H66:H68)</f>
        <v>188</v>
      </c>
      <c r="I69" s="13"/>
      <c r="J69" s="40"/>
    </row>
    <row r="70" spans="1:10" ht="15.75">
      <c r="A70" s="41"/>
      <c r="B70" s="97"/>
      <c r="C70" s="13"/>
      <c r="D70" s="40"/>
      <c r="E70" s="13"/>
      <c r="F70" s="41"/>
      <c r="G70" s="13"/>
      <c r="H70" s="13"/>
      <c r="I70" s="13"/>
      <c r="J70" s="40"/>
    </row>
    <row r="71" spans="1:10" ht="15.75">
      <c r="A71" s="103" t="s">
        <v>336</v>
      </c>
      <c r="B71" s="13"/>
      <c r="C71" s="13"/>
      <c r="D71" s="40"/>
      <c r="E71" s="13"/>
      <c r="F71" s="100" t="s">
        <v>353</v>
      </c>
      <c r="G71" s="13"/>
      <c r="H71" s="248">
        <v>140</v>
      </c>
      <c r="I71" s="13"/>
      <c r="J71" s="40"/>
    </row>
    <row r="72" spans="1:10" ht="15.75">
      <c r="A72" s="100" t="s">
        <v>443</v>
      </c>
      <c r="B72" s="97"/>
      <c r="C72" s="145">
        <f>'Returns Analysis'!C39</f>
        <v>0.14115228056907658</v>
      </c>
      <c r="D72" s="40"/>
      <c r="E72" s="13"/>
      <c r="F72" s="100" t="s">
        <v>268</v>
      </c>
      <c r="G72" s="13"/>
      <c r="H72" s="248">
        <v>400</v>
      </c>
      <c r="I72" s="13"/>
      <c r="J72" s="40"/>
    </row>
    <row r="73" spans="1:10" ht="16.5" thickBot="1">
      <c r="A73" s="100" t="str">
        <f>CONCATENATE("20 Yrs After-Tax Cashflow with ",H23,"x EBITDA Exit Multiple Residual Value")</f>
        <v>20 Yrs After-Tax Cashflow with 5x EBITDA Exit Multiple Residual Value</v>
      </c>
      <c r="B73" s="13"/>
      <c r="C73" s="145">
        <f>'Returns Analysis'!C46</f>
        <v>0.14880728125572204</v>
      </c>
      <c r="D73" s="169" t="s">
        <v>442</v>
      </c>
      <c r="F73" s="102" t="s">
        <v>174</v>
      </c>
      <c r="G73" s="42"/>
      <c r="H73" s="257">
        <v>2500</v>
      </c>
      <c r="I73" s="42"/>
      <c r="J73" s="81"/>
    </row>
    <row r="74" spans="1:10" ht="15.75">
      <c r="A74" s="100" t="str">
        <f>CONCATENATE("20 Yrs After-Tax Cashflow with ",H24*100,"% Initial Project Cost Residual Value")</f>
        <v>20 Yrs After-Tax Cashflow with 20% Initial Project Cost Residual Value</v>
      </c>
      <c r="B74" s="13"/>
      <c r="C74" s="145">
        <f>'Returns Analysis'!C53</f>
        <v>0.15024498105049136</v>
      </c>
      <c r="D74" s="540">
        <v>0.12</v>
      </c>
      <c r="E74" s="97"/>
    </row>
    <row r="75" spans="1:10" ht="15.75">
      <c r="A75" s="100" t="str">
        <f>CONCATENATE("20 Yrs After-Tax Cashflow with $",H25,"/kW Residual Value")</f>
        <v>20 Yrs After-Tax Cashflow with $200/kW Residual Value</v>
      </c>
      <c r="B75" s="13"/>
      <c r="C75" s="145">
        <f>'Returns Analysis'!C60</f>
        <v>0.15550721287727362</v>
      </c>
      <c r="D75" s="101"/>
      <c r="E75" s="97"/>
    </row>
    <row r="76" spans="1:10">
      <c r="A76" s="41"/>
      <c r="B76" s="13"/>
      <c r="C76" s="13"/>
      <c r="D76" s="40"/>
      <c r="E76" s="13"/>
    </row>
    <row r="77" spans="1:10" ht="15.75">
      <c r="A77" s="103" t="s">
        <v>87</v>
      </c>
      <c r="B77" s="96">
        <f>IS!C7</f>
        <v>2001</v>
      </c>
      <c r="C77" s="96">
        <f>IS!D7</f>
        <v>2002</v>
      </c>
      <c r="D77" s="169">
        <f>IS!E7</f>
        <v>2003</v>
      </c>
      <c r="E77" s="13"/>
    </row>
    <row r="78" spans="1:10" ht="15.75">
      <c r="A78" s="100" t="s">
        <v>98</v>
      </c>
      <c r="B78" s="110">
        <f>IS!C32</f>
        <v>8999.0311824216951</v>
      </c>
      <c r="C78" s="110">
        <f>IS!D32</f>
        <v>13674.64677363255</v>
      </c>
      <c r="D78" s="165">
        <f>IS!E32</f>
        <v>13650.10977363255</v>
      </c>
      <c r="E78" s="13"/>
    </row>
    <row r="79" spans="1:10" ht="15.75">
      <c r="A79" s="100" t="s">
        <v>99</v>
      </c>
      <c r="B79" s="110">
        <f>IS!C45</f>
        <v>777.9346049972612</v>
      </c>
      <c r="C79" s="110">
        <f>IS!D45</f>
        <v>1396.8709928797275</v>
      </c>
      <c r="D79" s="165">
        <f>IS!E45</f>
        <v>1544.3556345052991</v>
      </c>
      <c r="E79" s="13"/>
    </row>
    <row r="80" spans="1:10" ht="15.75">
      <c r="A80" s="100" t="s">
        <v>100</v>
      </c>
      <c r="B80" s="110">
        <f>'Returns Analysis'!C13</f>
        <v>5845.5524036689594</v>
      </c>
      <c r="C80" s="110">
        <f>'Returns Analysis'!D13</f>
        <v>6309.2065931876059</v>
      </c>
      <c r="D80" s="165">
        <f>'Returns Analysis'!E13</f>
        <v>6545.9928244088333</v>
      </c>
      <c r="E80" s="13"/>
    </row>
    <row r="81" spans="1:9" ht="16.5" thickBot="1">
      <c r="A81" s="102" t="s">
        <v>366</v>
      </c>
      <c r="B81" s="111">
        <f>'Returns Analysis'!C21</f>
        <v>4658.3887772813459</v>
      </c>
      <c r="C81" s="111">
        <f>'Returns Analysis'!D21</f>
        <v>3196.5334410295109</v>
      </c>
      <c r="D81" s="190">
        <f>'Returns Analysis'!E21</f>
        <v>3145.3196063493342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8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0"/>
    </row>
    <row r="100" spans="5:5" ht="15.75">
      <c r="E100" s="110"/>
    </row>
    <row r="101" spans="5:5" ht="15.75">
      <c r="E101" s="110"/>
    </row>
    <row r="102" spans="5:5" ht="15.75">
      <c r="E102" s="110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36" sqref="D36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63" ht="18.75">
      <c r="B4" s="168" t="s">
        <v>402</v>
      </c>
      <c r="C4" s="67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63" ht="18.75">
      <c r="B5" s="205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63">
      <c r="B6" s="13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6"/>
      <c r="C7" s="97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4">
        <f>YEAR(Assumptions!H17)</f>
        <v>2001</v>
      </c>
      <c r="E8" s="514">
        <f t="shared" ref="E8:X8" si="2">D8+1</f>
        <v>2002</v>
      </c>
      <c r="F8" s="514">
        <f t="shared" si="2"/>
        <v>2003</v>
      </c>
      <c r="G8" s="514">
        <f t="shared" si="2"/>
        <v>2004</v>
      </c>
      <c r="H8" s="514">
        <f t="shared" si="2"/>
        <v>2005</v>
      </c>
      <c r="I8" s="514">
        <f t="shared" si="2"/>
        <v>2006</v>
      </c>
      <c r="J8" s="514">
        <f t="shared" si="2"/>
        <v>2007</v>
      </c>
      <c r="K8" s="514">
        <f t="shared" si="2"/>
        <v>2008</v>
      </c>
      <c r="L8" s="514">
        <f t="shared" si="2"/>
        <v>2009</v>
      </c>
      <c r="M8" s="514">
        <f t="shared" si="2"/>
        <v>2010</v>
      </c>
      <c r="N8" s="514">
        <f t="shared" si="2"/>
        <v>2011</v>
      </c>
      <c r="O8" s="514">
        <f t="shared" si="2"/>
        <v>2012</v>
      </c>
      <c r="P8" s="514">
        <f t="shared" si="2"/>
        <v>2013</v>
      </c>
      <c r="Q8" s="514">
        <f t="shared" si="2"/>
        <v>2014</v>
      </c>
      <c r="R8" s="514">
        <f t="shared" si="2"/>
        <v>2015</v>
      </c>
      <c r="S8" s="514">
        <f t="shared" si="2"/>
        <v>2016</v>
      </c>
      <c r="T8" s="514">
        <f t="shared" si="2"/>
        <v>2017</v>
      </c>
      <c r="U8" s="514">
        <f t="shared" si="2"/>
        <v>2018</v>
      </c>
      <c r="V8" s="514">
        <f t="shared" si="2"/>
        <v>2019</v>
      </c>
      <c r="W8" s="514">
        <f t="shared" si="2"/>
        <v>2020</v>
      </c>
      <c r="X8" s="514">
        <f t="shared" si="2"/>
        <v>2021</v>
      </c>
      <c r="Y8" s="514">
        <f>X8+1</f>
        <v>2022</v>
      </c>
      <c r="Z8" s="514">
        <f t="shared" ref="Z8:AG8" si="3">Y8+1</f>
        <v>2023</v>
      </c>
      <c r="AA8" s="514">
        <f t="shared" si="3"/>
        <v>2024</v>
      </c>
      <c r="AB8" s="514">
        <f t="shared" si="3"/>
        <v>2025</v>
      </c>
      <c r="AC8" s="514">
        <f t="shared" si="3"/>
        <v>2026</v>
      </c>
      <c r="AD8" s="514">
        <f t="shared" si="3"/>
        <v>2027</v>
      </c>
      <c r="AE8" s="514">
        <f t="shared" si="3"/>
        <v>2028</v>
      </c>
      <c r="AF8" s="514">
        <f t="shared" si="3"/>
        <v>2029</v>
      </c>
      <c r="AG8" s="514">
        <f t="shared" si="3"/>
        <v>2030</v>
      </c>
      <c r="AH8" s="514">
        <f>AG8+1</f>
        <v>2031</v>
      </c>
    </row>
    <row r="9" spans="1:63">
      <c r="B9" s="97"/>
      <c r="C9" s="97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63">
      <c r="A10" s="12"/>
      <c r="B10" s="491" t="s">
        <v>415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2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305</v>
      </c>
      <c r="C12" s="13"/>
      <c r="D12" s="493">
        <f>Assumptions!$H$54</f>
        <v>6.52</v>
      </c>
      <c r="E12" s="493">
        <f>Assumptions!$H$54</f>
        <v>6.52</v>
      </c>
      <c r="F12" s="493">
        <f>Assumptions!$H$54</f>
        <v>6.52</v>
      </c>
      <c r="G12" s="493">
        <f>Assumptions!$H$54</f>
        <v>6.52</v>
      </c>
      <c r="H12" s="493">
        <f>Assumptions!$H$54</f>
        <v>6.52</v>
      </c>
      <c r="I12" s="493">
        <f>Assumptions!$H$54</f>
        <v>6.52</v>
      </c>
      <c r="J12" s="493">
        <f>Assumptions!$H$54</f>
        <v>6.52</v>
      </c>
      <c r="K12" s="493">
        <f>Assumptions!$H$54</f>
        <v>6.52</v>
      </c>
      <c r="L12" s="493">
        <f>Assumptions!$H$54</f>
        <v>6.52</v>
      </c>
      <c r="M12" s="493">
        <f>Assumptions!$H$54</f>
        <v>6.52</v>
      </c>
      <c r="N12" s="493">
        <f>Assumptions!$H$54</f>
        <v>6.52</v>
      </c>
      <c r="O12" s="493">
        <f>Assumptions!$H$54</f>
        <v>6.52</v>
      </c>
      <c r="P12" s="493">
        <f>Assumptions!$H$54</f>
        <v>6.52</v>
      </c>
      <c r="Q12" s="493">
        <f>Assumptions!$H$54</f>
        <v>6.52</v>
      </c>
      <c r="R12" s="493">
        <f>Assumptions!$H$54</f>
        <v>6.52</v>
      </c>
      <c r="S12" s="493">
        <f>Assumptions!$H$54</f>
        <v>6.52</v>
      </c>
      <c r="T12" s="493">
        <f>Assumptions!$H$54</f>
        <v>6.52</v>
      </c>
      <c r="U12" s="493">
        <f>Assumptions!$H$54</f>
        <v>6.52</v>
      </c>
      <c r="V12" s="493">
        <f>Assumptions!$H$54</f>
        <v>6.52</v>
      </c>
      <c r="W12" s="493">
        <f>Assumptions!$H$54</f>
        <v>6.52</v>
      </c>
      <c r="X12" s="493">
        <f>Assumptions!$H$54</f>
        <v>6.52</v>
      </c>
      <c r="Y12" s="493">
        <f>Assumptions!$H$54</f>
        <v>6.52</v>
      </c>
      <c r="Z12" s="493">
        <f>Assumptions!$H$54</f>
        <v>6.52</v>
      </c>
      <c r="AA12" s="493">
        <f>Assumptions!$H$54</f>
        <v>6.52</v>
      </c>
      <c r="AB12" s="493">
        <f>Assumptions!$H$54</f>
        <v>6.52</v>
      </c>
      <c r="AC12" s="493">
        <f>Assumptions!$H$54</f>
        <v>6.52</v>
      </c>
      <c r="AD12" s="493">
        <f>Assumptions!$H$54</f>
        <v>6.52</v>
      </c>
      <c r="AE12" s="493">
        <f>Assumptions!$H$54</f>
        <v>6.52</v>
      </c>
      <c r="AF12" s="493">
        <f>Assumptions!$H$54</f>
        <v>6.52</v>
      </c>
      <c r="AG12" s="493">
        <f>Assumptions!$H$54</f>
        <v>6.52</v>
      </c>
      <c r="AH12" s="493">
        <f>Assumptions!$H$54</f>
        <v>6.52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314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243</v>
      </c>
      <c r="C15" s="12"/>
      <c r="D15" s="494">
        <v>5.4933333333333332</v>
      </c>
      <c r="E15" s="494">
        <v>5.6581333333333328</v>
      </c>
      <c r="F15" s="494">
        <v>5.6457561666666676</v>
      </c>
      <c r="G15" s="494">
        <v>5.7213364508333333</v>
      </c>
      <c r="H15" s="494">
        <v>5.6997641986416658</v>
      </c>
      <c r="I15" s="494">
        <v>5.7712527665568336</v>
      </c>
      <c r="J15" s="494">
        <v>5.8419008607681322</v>
      </c>
      <c r="K15" s="494">
        <v>5.9115937131422074</v>
      </c>
      <c r="L15" s="494">
        <v>6.088941524536474</v>
      </c>
      <c r="M15" s="494">
        <v>6.1596167386605574</v>
      </c>
      <c r="N15" s="494">
        <v>6.3444052408203753</v>
      </c>
      <c r="O15" s="494">
        <v>6.4159239908078041</v>
      </c>
      <c r="P15" s="494">
        <v>6.6084017105320383</v>
      </c>
      <c r="Q15" s="494">
        <v>6.680604618110074</v>
      </c>
      <c r="R15" s="494">
        <v>6.7511921386033125</v>
      </c>
      <c r="S15" s="494">
        <v>6.8200023661698452</v>
      </c>
      <c r="T15" s="494">
        <v>6.8868651344656273</v>
      </c>
      <c r="U15" s="494">
        <v>6.951601666729605</v>
      </c>
      <c r="V15" s="494">
        <v>7.014024212308402</v>
      </c>
      <c r="W15" s="494">
        <v>7.0739356691218687</v>
      </c>
      <c r="X15" s="494">
        <v>7.1311291915530655</v>
      </c>
      <c r="Y15" s="494">
        <v>7.1853877832279265</v>
      </c>
      <c r="Z15" s="494">
        <v>7.2396463749027831</v>
      </c>
      <c r="AA15" s="494">
        <v>7.2939049665776494</v>
      </c>
      <c r="AB15" s="494">
        <v>7.3481635582525087</v>
      </c>
      <c r="AC15" s="494">
        <v>7.402422149927367</v>
      </c>
      <c r="AD15" s="494">
        <v>7.4566807416022245</v>
      </c>
      <c r="AE15" s="494">
        <v>7.5109393332770908</v>
      </c>
      <c r="AF15" s="494">
        <v>7.5651979249519501</v>
      </c>
      <c r="AG15" s="494">
        <v>7.6194565166268085</v>
      </c>
      <c r="AH15" s="494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244</v>
      </c>
      <c r="C16" s="12"/>
      <c r="D16" s="494">
        <v>4.3775000000000004</v>
      </c>
      <c r="E16" s="494">
        <v>4.5088249999999999</v>
      </c>
      <c r="F16" s="494">
        <v>4.7351503333333334</v>
      </c>
      <c r="G16" s="494">
        <v>4.8772048433333328</v>
      </c>
      <c r="H16" s="494">
        <v>5.023520988633333</v>
      </c>
      <c r="I16" s="494">
        <v>5.1742266182923329</v>
      </c>
      <c r="J16" s="494">
        <v>5.3294534168411039</v>
      </c>
      <c r="K16" s="494">
        <v>5.2782086724483994</v>
      </c>
      <c r="L16" s="494">
        <v>5.2190927353169778</v>
      </c>
      <c r="M16" s="494">
        <v>5.0396864225404565</v>
      </c>
      <c r="N16" s="494">
        <v>4.9601713700959298</v>
      </c>
      <c r="O16" s="494">
        <v>4.8713496967244438</v>
      </c>
      <c r="P16" s="494">
        <v>4.8951123781718797</v>
      </c>
      <c r="Q16" s="494">
        <v>4.9159166057791106</v>
      </c>
      <c r="R16" s="494">
        <v>4.8037328678523572</v>
      </c>
      <c r="S16" s="494">
        <v>4.8141193172963614</v>
      </c>
      <c r="T16" s="494">
        <v>4.8208055941259396</v>
      </c>
      <c r="U16" s="494">
        <v>4.9654297619497179</v>
      </c>
      <c r="V16" s="494">
        <v>5.114392654808209</v>
      </c>
      <c r="W16" s="494">
        <v>5.117315164896671</v>
      </c>
      <c r="X16" s="494">
        <v>5.27083461984357</v>
      </c>
      <c r="Y16" s="494">
        <v>5.4289596584388775</v>
      </c>
      <c r="Z16" s="494">
        <v>5.5870846970341832</v>
      </c>
      <c r="AA16" s="494">
        <v>5.7452097356294916</v>
      </c>
      <c r="AB16" s="494">
        <v>5.9033347742247999</v>
      </c>
      <c r="AC16" s="494">
        <v>6.0614598128201083</v>
      </c>
      <c r="AD16" s="494">
        <v>6.2195848514154086</v>
      </c>
      <c r="AE16" s="494">
        <v>6.377709890010717</v>
      </c>
      <c r="AF16" s="494">
        <v>6.5358349286060253</v>
      </c>
      <c r="AG16" s="494">
        <v>6.6939599672013337</v>
      </c>
      <c r="AH16" s="494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241</v>
      </c>
      <c r="C17" s="12"/>
      <c r="D17" s="495">
        <v>0</v>
      </c>
      <c r="E17" s="495">
        <v>0</v>
      </c>
      <c r="F17" s="495">
        <v>0</v>
      </c>
      <c r="G17" s="495">
        <v>0</v>
      </c>
      <c r="H17" s="495">
        <v>0</v>
      </c>
      <c r="I17" s="495">
        <v>0</v>
      </c>
      <c r="J17" s="495">
        <v>0</v>
      </c>
      <c r="K17" s="495">
        <v>0</v>
      </c>
      <c r="L17" s="495">
        <v>0</v>
      </c>
      <c r="M17" s="495">
        <v>0</v>
      </c>
      <c r="N17" s="495">
        <v>0</v>
      </c>
      <c r="O17" s="495">
        <v>0</v>
      </c>
      <c r="P17" s="495">
        <v>0</v>
      </c>
      <c r="Q17" s="495">
        <v>0</v>
      </c>
      <c r="R17" s="495">
        <v>0</v>
      </c>
      <c r="S17" s="495">
        <v>0</v>
      </c>
      <c r="T17" s="495">
        <v>0</v>
      </c>
      <c r="U17" s="495">
        <v>0</v>
      </c>
      <c r="V17" s="495">
        <v>0</v>
      </c>
      <c r="W17" s="495">
        <v>0</v>
      </c>
      <c r="X17" s="495">
        <v>0</v>
      </c>
      <c r="Y17" s="495">
        <v>0</v>
      </c>
      <c r="Z17" s="495">
        <v>0</v>
      </c>
      <c r="AA17" s="495">
        <v>0</v>
      </c>
      <c r="AB17" s="495">
        <v>0</v>
      </c>
      <c r="AC17" s="495">
        <v>0</v>
      </c>
      <c r="AD17" s="495">
        <v>0</v>
      </c>
      <c r="AE17" s="495">
        <v>0</v>
      </c>
      <c r="AF17" s="495">
        <v>0</v>
      </c>
      <c r="AG17" s="495">
        <v>0</v>
      </c>
      <c r="AH17" s="495">
        <v>0</v>
      </c>
      <c r="AI17" s="496"/>
      <c r="AJ17" s="496"/>
      <c r="AK17" s="496"/>
      <c r="AL17" s="496"/>
      <c r="AM17" s="496"/>
      <c r="AN17" s="496"/>
      <c r="AO17" s="496"/>
      <c r="AP17" s="496"/>
      <c r="AQ17" s="496"/>
      <c r="AR17" s="49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97">
        <v>0</v>
      </c>
      <c r="E18" s="497">
        <v>0</v>
      </c>
      <c r="F18" s="497">
        <v>0</v>
      </c>
      <c r="G18" s="497">
        <v>0</v>
      </c>
      <c r="H18" s="497">
        <v>0</v>
      </c>
      <c r="I18" s="497">
        <v>0</v>
      </c>
      <c r="J18" s="497">
        <v>0</v>
      </c>
      <c r="K18" s="497">
        <v>0</v>
      </c>
      <c r="L18" s="497">
        <v>0</v>
      </c>
      <c r="M18" s="497">
        <v>0</v>
      </c>
      <c r="N18" s="497">
        <v>0</v>
      </c>
      <c r="O18" s="497">
        <v>0</v>
      </c>
      <c r="P18" s="497">
        <v>0</v>
      </c>
      <c r="Q18" s="497">
        <v>0</v>
      </c>
      <c r="R18" s="497">
        <v>0</v>
      </c>
      <c r="S18" s="497">
        <v>0</v>
      </c>
      <c r="T18" s="497">
        <v>0</v>
      </c>
      <c r="U18" s="497">
        <v>0</v>
      </c>
      <c r="V18" s="497">
        <v>0</v>
      </c>
      <c r="W18" s="497">
        <v>0</v>
      </c>
      <c r="X18" s="497">
        <v>0</v>
      </c>
      <c r="Y18" s="497">
        <v>0</v>
      </c>
      <c r="Z18" s="497">
        <v>0</v>
      </c>
      <c r="AA18" s="497">
        <v>0</v>
      </c>
      <c r="AB18" s="497">
        <v>0</v>
      </c>
      <c r="AC18" s="497">
        <v>0</v>
      </c>
      <c r="AD18" s="497">
        <v>0</v>
      </c>
      <c r="AE18" s="497">
        <v>0</v>
      </c>
      <c r="AF18" s="497">
        <v>0</v>
      </c>
      <c r="AG18" s="497">
        <v>0</v>
      </c>
      <c r="AH18" s="497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8">
        <v>1</v>
      </c>
      <c r="B19" s="13" t="s">
        <v>122</v>
      </c>
      <c r="C19" s="499"/>
      <c r="D19" s="500">
        <f t="shared" ref="D19:AH19" si="4">CHOOSE($A$19,D15,D16,D17,D18)</f>
        <v>5.4933333333333332</v>
      </c>
      <c r="E19" s="500">
        <f t="shared" si="4"/>
        <v>5.6581333333333328</v>
      </c>
      <c r="F19" s="500">
        <f t="shared" si="4"/>
        <v>5.6457561666666676</v>
      </c>
      <c r="G19" s="500">
        <f t="shared" si="4"/>
        <v>5.7213364508333333</v>
      </c>
      <c r="H19" s="500">
        <f t="shared" si="4"/>
        <v>5.6997641986416658</v>
      </c>
      <c r="I19" s="500">
        <f t="shared" si="4"/>
        <v>5.7712527665568336</v>
      </c>
      <c r="J19" s="500">
        <f t="shared" si="4"/>
        <v>5.8419008607681322</v>
      </c>
      <c r="K19" s="500">
        <f t="shared" si="4"/>
        <v>5.9115937131422074</v>
      </c>
      <c r="L19" s="500">
        <f t="shared" si="4"/>
        <v>6.088941524536474</v>
      </c>
      <c r="M19" s="500">
        <f t="shared" si="4"/>
        <v>6.1596167386605574</v>
      </c>
      <c r="N19" s="500">
        <f t="shared" si="4"/>
        <v>6.3444052408203753</v>
      </c>
      <c r="O19" s="500">
        <f t="shared" si="4"/>
        <v>6.4159239908078041</v>
      </c>
      <c r="P19" s="500">
        <f t="shared" si="4"/>
        <v>6.6084017105320383</v>
      </c>
      <c r="Q19" s="500">
        <f t="shared" si="4"/>
        <v>6.680604618110074</v>
      </c>
      <c r="R19" s="500">
        <f t="shared" si="4"/>
        <v>6.7511921386033125</v>
      </c>
      <c r="S19" s="500">
        <f t="shared" si="4"/>
        <v>6.8200023661698452</v>
      </c>
      <c r="T19" s="500">
        <f t="shared" si="4"/>
        <v>6.8868651344656273</v>
      </c>
      <c r="U19" s="500">
        <f t="shared" si="4"/>
        <v>6.951601666729605</v>
      </c>
      <c r="V19" s="500">
        <f t="shared" si="4"/>
        <v>7.014024212308402</v>
      </c>
      <c r="W19" s="500">
        <f t="shared" si="4"/>
        <v>7.0739356691218687</v>
      </c>
      <c r="X19" s="500">
        <f t="shared" si="4"/>
        <v>7.1311291915530655</v>
      </c>
      <c r="Y19" s="500">
        <f t="shared" si="4"/>
        <v>7.1853877832279265</v>
      </c>
      <c r="Z19" s="500">
        <f t="shared" si="4"/>
        <v>7.2396463749027831</v>
      </c>
      <c r="AA19" s="500">
        <f t="shared" si="4"/>
        <v>7.2939049665776494</v>
      </c>
      <c r="AB19" s="500">
        <f t="shared" si="4"/>
        <v>7.3481635582525087</v>
      </c>
      <c r="AC19" s="500">
        <f t="shared" si="4"/>
        <v>7.402422149927367</v>
      </c>
      <c r="AD19" s="500">
        <f t="shared" si="4"/>
        <v>7.4566807416022245</v>
      </c>
      <c r="AE19" s="500">
        <f t="shared" si="4"/>
        <v>7.5109393332770908</v>
      </c>
      <c r="AF19" s="500">
        <f t="shared" si="4"/>
        <v>7.5651979249519501</v>
      </c>
      <c r="AG19" s="500">
        <f t="shared" si="4"/>
        <v>7.6194565166268085</v>
      </c>
      <c r="AH19" s="500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9"/>
      <c r="D20" s="501"/>
      <c r="E20" s="501"/>
      <c r="F20" s="501"/>
      <c r="G20" s="501"/>
      <c r="H20" s="501"/>
      <c r="I20" s="501"/>
      <c r="J20" s="501"/>
      <c r="K20" s="501"/>
      <c r="L20" s="501"/>
      <c r="M20" s="501"/>
      <c r="N20" s="501"/>
      <c r="O20" s="501"/>
      <c r="P20" s="501"/>
      <c r="Q20" s="501"/>
      <c r="R20" s="501"/>
      <c r="S20" s="501"/>
      <c r="T20" s="501"/>
      <c r="U20" s="501"/>
      <c r="V20" s="501"/>
      <c r="W20" s="501"/>
      <c r="X20" s="501"/>
      <c r="Y20" s="502"/>
      <c r="Z20" s="503"/>
      <c r="AA20" s="50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308</v>
      </c>
      <c r="C21" s="499"/>
      <c r="D21" s="504">
        <f>IF(AND(C7&lt;$D$7+Assumptions!$H$53,D7&lt;$D$7+Assumptions!$H$53),D12,IF(AND(C7&lt;$D$7+Assumptions!$H$53,D7&gt;$D$7+Assumptions!$H$53),D12*(1-$D$7)+D19*$D$7,D19))</f>
        <v>6.52</v>
      </c>
      <c r="E21" s="505">
        <f>IF(AND(D7&lt;$D$7+Assumptions!$H$53,E7&lt;$D$7+Assumptions!$H$53),E12,IF(AND(D7&lt;$D$7+Assumptions!$H$53,E7&gt;=$D$7+Assumptions!$H$53),E12*(1-$D$7)+E19*$D$7,E19))</f>
        <v>6.52</v>
      </c>
      <c r="F21" s="505">
        <f>IF(AND(E7&lt;$D$7+Assumptions!$H$53,F7&lt;$D$7+Assumptions!$H$53),F12,IF(AND(E7&lt;$D$7+Assumptions!$H$53,F7&gt;=$D$7+Assumptions!$H$53),F12*(1-$D$7)+F19*$D$7,F19))</f>
        <v>6.52</v>
      </c>
      <c r="G21" s="505">
        <f>IF(AND(F7&lt;$D$7+Assumptions!$H$53,G7&lt;$D$7+Assumptions!$H$53),G12,IF(AND(F7&lt;$D$7+Assumptions!$H$53,G7&gt;=$D$7+Assumptions!$H$53),G12*(1-$D$7)+G19*$D$7,G19))</f>
        <v>6.52</v>
      </c>
      <c r="H21" s="505">
        <f>IF(AND(G7&lt;$D$7+Assumptions!$H$53,H7&lt;$D$7+Assumptions!$H$53),H12,IF(AND(G7&lt;$D$7+Assumptions!$H$53,H7&gt;=$D$7+Assumptions!$H$53),H12*(1-$D$7)+H19*$D$7,H19))</f>
        <v>6.52</v>
      </c>
      <c r="I21" s="505">
        <f>IF(AND(H7&lt;$D$7+Assumptions!$H$53,I7&lt;$D$7+Assumptions!$H$53),I12,IF(AND(H7&lt;$D$7+Assumptions!$H$53,I7&gt;=$D$7+Assumptions!$H$53),I12*(1-$D$7)+I19*$D$7,I19))</f>
        <v>6.52</v>
      </c>
      <c r="J21" s="505">
        <f>IF(AND(I7&lt;$D$7+Assumptions!$H$53,J7&lt;$D$7+Assumptions!$H$53),J12,IF(AND(I7&lt;$D$7+Assumptions!$H$53,J7&gt;=$D$7+Assumptions!$H$53),J12*(1-$D$7)+J19*$D$7,J19))</f>
        <v>6.52</v>
      </c>
      <c r="K21" s="505">
        <f>IF(AND(J7&lt;$D$7+Assumptions!$H$53,K7&lt;$D$7+Assumptions!$H$53),K12,IF(AND(J7&lt;$D$7+Assumptions!$H$53,K7&gt;=$D$7+Assumptions!$H$53),K12*(1-$D$7)+K19*$D$7,K19))</f>
        <v>6.52</v>
      </c>
      <c r="L21" s="505">
        <f>IF(AND(K7&lt;$D$7+Assumptions!$H$53,L7&lt;$D$7+Assumptions!$H$53),L12,IF(AND(K7&lt;$D$7+Assumptions!$H$53,L7&gt;=$D$7+Assumptions!$H$53),L12*(1-$D$7)+L19*$D$7,L19))</f>
        <v>6.52</v>
      </c>
      <c r="M21" s="505">
        <f>IF(AND(L7&lt;$D$7+Assumptions!$H$53,M7&lt;$D$7+Assumptions!$H$53),M12,IF(AND(L7&lt;$D$7+Assumptions!$H$53,M7&gt;=$D$7+Assumptions!$H$53),M12*(1-$D$7)+M19*$D$7,M19))</f>
        <v>6.52</v>
      </c>
      <c r="N21" s="505">
        <f>IF(AND(M7&lt;$D$7+Assumptions!$H$53,N7&lt;$D$7+Assumptions!$H$53),N12,IF(AND(M7&lt;$D$7+Assumptions!$H$53,N7&gt;=$D$7+Assumptions!$H$53),N12*(1-$D$7)+N19*$D$7,N19))</f>
        <v>6.52</v>
      </c>
      <c r="O21" s="505">
        <f>IF(AND(N7&lt;$D$7+Assumptions!$H$53,O7&lt;$D$7+Assumptions!$H$53),O12,IF(AND(N7&lt;$D$7+Assumptions!$H$53,O7&gt;=$D$7+Assumptions!$H$53),O12*(1-$D$7)+O19*$D$7,O19))</f>
        <v>6.52</v>
      </c>
      <c r="P21" s="505">
        <f>IF(AND(O7&lt;$D$7+Assumptions!$H$53,P7&lt;$D$7+Assumptions!$H$53),P12,IF(AND(O7&lt;$D$7+Assumptions!$H$53,P7&gt;=$D$7+Assumptions!$H$53),P12*(1-$D$7)+P19*$D$7,P19))</f>
        <v>6.52</v>
      </c>
      <c r="Q21" s="505">
        <f>IF(AND(P7&lt;$D$7+Assumptions!$H$53,Q7&lt;$D$7+Assumptions!$H$53),Q12,IF(AND(P7&lt;$D$7+Assumptions!$H$53,Q7&gt;=$D$7+Assumptions!$H$53),Q12*(1-$D$7)+Q19*$D$7,Q19))</f>
        <v>6.52</v>
      </c>
      <c r="R21" s="506">
        <f>IF(AND(Q7&lt;$D$7+Assumptions!$H$53,R7&lt;$D$7+Assumptions!$H$53),R12,IF(AND(Q7&lt;$D$7+Assumptions!$H$53,R7&gt;=$D$7+Assumptions!$H$53),R12*(1-$D$7)+R19*$D$7,R19))</f>
        <v>6.52</v>
      </c>
      <c r="S21" s="504">
        <f>IF(AND(R7&lt;$D$7+Assumptions!$H$53,S7&lt;$D$7+Assumptions!$H$53),S12,IF(AND(R7&lt;$D$7+Assumptions!$H$53,S7&gt;=$D$7+Assumptions!$H$53),S12*(1-$D$7)+S19*$D$7,S19))</f>
        <v>6.52</v>
      </c>
      <c r="T21" s="505">
        <f>IF(AND(S7&lt;$D$7+Assumptions!$H$53,T7&lt;$D$7+Assumptions!$H$53),T12,IF(AND(S7&lt;$D$7+Assumptions!$H$53,T7&gt;=$D$7+Assumptions!$H$53),T12*(1-$D$7)+T19*$D$7,T19))</f>
        <v>6.52</v>
      </c>
      <c r="U21" s="505">
        <f>IF(AND(T7&lt;$D$7+Assumptions!$H$53,U7&lt;$D$7+Assumptions!$H$53),U12,IF(AND(T7&lt;$D$7+Assumptions!$H$53,U7&gt;=$D$7+Assumptions!$H$53),U12*(1-$D$7)+U19*$D$7,U19))</f>
        <v>6.52</v>
      </c>
      <c r="V21" s="505">
        <f>IF(AND(U7&lt;$D$7+Assumptions!$H$53,V7&lt;$D$7+Assumptions!$H$53),V12,IF(AND(U7&lt;$D$7+Assumptions!$H$53,V7&gt;=$D$7+Assumptions!$H$53),V12*(1-$D$7)+V19*$D$7,V19))</f>
        <v>6.52</v>
      </c>
      <c r="W21" s="505">
        <f>IF(AND(V7&lt;$D$7+Assumptions!$H$53,W7&lt;$D$7+Assumptions!$H$53),W12,IF(AND(V7&lt;$D$7+Assumptions!$H$53,W7&gt;=$D$7+Assumptions!$H$53),W12*(1-$D$7)+W19*$D$7,W19))</f>
        <v>6.52</v>
      </c>
      <c r="X21" s="505">
        <f>IF(AND(W7&lt;$D$7+Assumptions!$H$53,X7&lt;$D$7+Assumptions!$H$53),X12,IF(AND(W7&lt;$D$7+Assumptions!$H$53,X7&gt;=$D$7+Assumptions!$H$53),X12*(1-$D$7)+X19*$D$7,X19))</f>
        <v>6.9274194610353774</v>
      </c>
      <c r="Y21" s="505">
        <f>IF(AND(X7&lt;$D$7+Assumptions!$H$53,Y7&lt;$D$7+Assumptions!$H$53),Y12,IF(AND(X7&lt;$D$7+Assumptions!$H$53,Y7&gt;=$D$7+Assumptions!$H$53),Y12*(1-$D$7)+Y19*$D$7,Y19))</f>
        <v>7.1853877832279265</v>
      </c>
      <c r="Z21" s="505">
        <f>IF(AND(Y7&lt;$D$7+Assumptions!$H$53,Z7&lt;$D$7+Assumptions!$H$53),Z12,IF(AND(Y7&lt;$D$7+Assumptions!$H$53,Z7&gt;=$D$7+Assumptions!$H$53),Z12*(1-$D$7)+Z19*$D$7,Z19))</f>
        <v>7.2396463749027831</v>
      </c>
      <c r="AA21" s="505">
        <f>IF(AND(Z7&lt;$D$7+Assumptions!$H$53,AA7&lt;$D$7+Assumptions!$H$53),AA12,IF(AND(Z7&lt;$D$7+Assumptions!$H$53,AA7&gt;=$D$7+Assumptions!$H$53),AA12*(1-$D$7)+AA19*$D$7,AA19))</f>
        <v>7.2939049665776494</v>
      </c>
      <c r="AB21" s="505">
        <f>IF(AND(AA7&lt;$D$7+Assumptions!$H$53,AB7&lt;$D$7+Assumptions!$H$53),AB12,IF(AND(AA7&lt;$D$7+Assumptions!$H$53,AB7&gt;=$D$7+Assumptions!$H$53),AB12*(1-$D$7)+AB19*$D$7,AB19))</f>
        <v>7.3481635582525087</v>
      </c>
      <c r="AC21" s="505">
        <f>IF(AND(AB7&lt;$D$7+Assumptions!$H$53,AC7&lt;$D$7+Assumptions!$H$53),AC12,IF(AND(AB7&lt;$D$7+Assumptions!$H$53,AC7&gt;=$D$7+Assumptions!$H$53),AC12*(1-$D$7)+AC19*$D$7,AC19))</f>
        <v>7.402422149927367</v>
      </c>
      <c r="AD21" s="505">
        <f>IF(AND(AC7&lt;$D$7+Assumptions!$H$53,AD7&lt;$D$7+Assumptions!$H$53),AD12,IF(AND(AC7&lt;$D$7+Assumptions!$H$53,AD7&gt;=$D$7+Assumptions!$H$53),AD12*(1-$D$7)+AD19*$D$7,AD19))</f>
        <v>7.4566807416022245</v>
      </c>
      <c r="AE21" s="505">
        <f>IF(AND(AD7&lt;$D$7+Assumptions!$H$53,AE7&lt;$D$7+Assumptions!$H$53),AE12,IF(AND(AD7&lt;$D$7+Assumptions!$H$53,AE7&gt;=$D$7+Assumptions!$H$53),AE12*(1-$D$7)+AE19*$D$7,AE19))</f>
        <v>7.5109393332770908</v>
      </c>
      <c r="AF21" s="505">
        <f>IF(AND(AE7&lt;$D$7+Assumptions!$H$53,AF7&lt;$D$7+Assumptions!$H$53),AF12,IF(AND(AE7&lt;$D$7+Assumptions!$H$53,AF7&gt;=$D$7+Assumptions!$H$53),AF12*(1-$D$7)+AF19*$D$7,AF19))</f>
        <v>7.5651979249519501</v>
      </c>
      <c r="AG21" s="505">
        <f>IF(AND(AF7&lt;$D$7+Assumptions!$H$53,AG7&lt;$D$7+Assumptions!$H$53),AG12,IF(AND(AF7&lt;$D$7+Assumptions!$H$53,AG7&gt;=$D$7+Assumptions!$H$53),AG12*(1-$D$7)+AG19*$D$7,AG19))</f>
        <v>7.6194565166268085</v>
      </c>
      <c r="AH21" s="506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9"/>
      <c r="D22" s="501"/>
      <c r="E22" s="501"/>
      <c r="F22" s="501"/>
      <c r="G22" s="501"/>
      <c r="H22" s="501"/>
      <c r="I22" s="501"/>
      <c r="J22" s="501"/>
      <c r="K22" s="501"/>
      <c r="L22" s="501"/>
      <c r="M22" s="501"/>
      <c r="N22" s="501"/>
      <c r="O22" s="501"/>
      <c r="P22" s="501"/>
      <c r="Q22" s="501"/>
      <c r="R22" s="501"/>
      <c r="S22" s="501"/>
      <c r="T22" s="501"/>
      <c r="U22" s="501"/>
      <c r="V22" s="501"/>
      <c r="W22" s="501"/>
      <c r="X22" s="501"/>
      <c r="Y22" s="502"/>
      <c r="Z22" s="503"/>
      <c r="AA22" s="50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1" t="s">
        <v>392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07"/>
      <c r="D25" s="495">
        <f>'Gas Curve'!G5</f>
        <v>3.1783749999999995</v>
      </c>
      <c r="E25" s="495">
        <f>'Gas Curve'!G6</f>
        <v>3.1596666666666668</v>
      </c>
      <c r="F25" s="495">
        <f>'Gas Curve'!G7</f>
        <v>3.1917083333333331</v>
      </c>
      <c r="G25" s="495">
        <f>'Gas Curve'!G8</f>
        <v>3.2408750000000004</v>
      </c>
      <c r="H25" s="495">
        <f>'Gas Curve'!G9</f>
        <v>3.300041666666667</v>
      </c>
      <c r="I25" s="495">
        <f>'Gas Curve'!G10</f>
        <v>3.3629583333333333</v>
      </c>
      <c r="J25" s="495">
        <f>'Gas Curve'!G11</f>
        <v>3.4279583333333341</v>
      </c>
      <c r="K25" s="495">
        <f>'Gas Curve'!G12</f>
        <v>3.4979583333333335</v>
      </c>
      <c r="L25" s="495">
        <f>'Gas Curve'!G13</f>
        <v>3.5729583333333337</v>
      </c>
      <c r="M25" s="495">
        <f>'Gas Curve'!G14</f>
        <v>3.6529583333333329</v>
      </c>
      <c r="N25" s="495">
        <f>'Gas Curve'!G15</f>
        <v>3.7379583333333333</v>
      </c>
      <c r="O25" s="495">
        <f>'Gas Curve'!G16</f>
        <v>3.8160833333333337</v>
      </c>
      <c r="P25" s="495">
        <f>'Gas Curve'!G17</f>
        <v>3.8856666666666668</v>
      </c>
      <c r="Q25" s="495">
        <f>'Gas Curve'!G18</f>
        <v>4.0229583333333343</v>
      </c>
      <c r="R25" s="495">
        <f>'Gas Curve'!G19</f>
        <v>4.127958333333333</v>
      </c>
      <c r="S25" s="495">
        <f>'Gas Curve'!G20</f>
        <v>4.2379583333333333</v>
      </c>
      <c r="T25" s="495">
        <f>'Gas Curve'!G21</f>
        <v>4.3529583333333335</v>
      </c>
      <c r="U25" s="495">
        <f>'Gas Curve'!G22</f>
        <v>4.4729583333333336</v>
      </c>
      <c r="V25" s="495">
        <f>'Gas Curve'!G23</f>
        <v>4.5979583333333336</v>
      </c>
      <c r="W25" s="495">
        <f>'Gas Curve'!G24</f>
        <v>4.7279583333333335</v>
      </c>
      <c r="X25" s="495">
        <f>'Gas Curve'!G25</f>
        <v>4.8629583333333333</v>
      </c>
      <c r="Y25" s="495">
        <v>2.2000000000000002</v>
      </c>
      <c r="Z25" s="495">
        <v>2.2000000000000002</v>
      </c>
      <c r="AA25" s="495">
        <v>2.2000000000000002</v>
      </c>
      <c r="AB25" s="495">
        <v>2.2000000000000002</v>
      </c>
      <c r="AC25" s="495">
        <v>2.2000000000000002</v>
      </c>
      <c r="AD25" s="495">
        <v>2.2000000000000002</v>
      </c>
      <c r="AE25" s="495">
        <v>2.2000000000000002</v>
      </c>
      <c r="AF25" s="495">
        <v>2.2000000000000002</v>
      </c>
      <c r="AG25" s="495">
        <v>2.2000000000000002</v>
      </c>
      <c r="AH25" s="495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238</v>
      </c>
      <c r="C26" s="13"/>
      <c r="D26" s="495">
        <v>2.5</v>
      </c>
      <c r="E26" s="495">
        <v>2.5</v>
      </c>
      <c r="F26" s="495">
        <v>2.5</v>
      </c>
      <c r="G26" s="495">
        <v>2.5</v>
      </c>
      <c r="H26" s="495">
        <v>2.5</v>
      </c>
      <c r="I26" s="495">
        <v>2.5</v>
      </c>
      <c r="J26" s="495">
        <v>2.5</v>
      </c>
      <c r="K26" s="495">
        <v>2.5</v>
      </c>
      <c r="L26" s="495">
        <v>2.5</v>
      </c>
      <c r="M26" s="495">
        <v>2.5</v>
      </c>
      <c r="N26" s="495">
        <v>2.5</v>
      </c>
      <c r="O26" s="495">
        <v>2.5</v>
      </c>
      <c r="P26" s="495">
        <v>2.5</v>
      </c>
      <c r="Q26" s="495">
        <v>2.5</v>
      </c>
      <c r="R26" s="495">
        <v>2.5</v>
      </c>
      <c r="S26" s="495">
        <v>2.5</v>
      </c>
      <c r="T26" s="495">
        <v>2.5</v>
      </c>
      <c r="U26" s="495">
        <v>2.5</v>
      </c>
      <c r="V26" s="495">
        <v>2.5</v>
      </c>
      <c r="W26" s="495">
        <v>2.5</v>
      </c>
      <c r="X26" s="495">
        <v>2.5</v>
      </c>
      <c r="Y26" s="495">
        <v>2.5</v>
      </c>
      <c r="Z26" s="495">
        <v>2.5</v>
      </c>
      <c r="AA26" s="495">
        <v>2.5</v>
      </c>
      <c r="AB26" s="495">
        <v>2.5</v>
      </c>
      <c r="AC26" s="495">
        <v>2.5</v>
      </c>
      <c r="AD26" s="495">
        <v>2.5</v>
      </c>
      <c r="AE26" s="495">
        <v>2.5</v>
      </c>
      <c r="AF26" s="495">
        <v>2.5</v>
      </c>
      <c r="AG26" s="495">
        <v>2.5</v>
      </c>
      <c r="AH26" s="495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8">
        <v>1.5</v>
      </c>
      <c r="E27" s="508">
        <v>1.5</v>
      </c>
      <c r="F27" s="508">
        <v>1.5</v>
      </c>
      <c r="G27" s="508">
        <v>1.5</v>
      </c>
      <c r="H27" s="508">
        <v>1.5</v>
      </c>
      <c r="I27" s="508">
        <v>1.5</v>
      </c>
      <c r="J27" s="508">
        <v>1.5</v>
      </c>
      <c r="K27" s="508">
        <v>1.5</v>
      </c>
      <c r="L27" s="508">
        <v>1.5</v>
      </c>
      <c r="M27" s="508">
        <v>1.5</v>
      </c>
      <c r="N27" s="508">
        <v>1.5</v>
      </c>
      <c r="O27" s="508">
        <v>1.5</v>
      </c>
      <c r="P27" s="508">
        <v>1.5</v>
      </c>
      <c r="Q27" s="508">
        <v>1.5</v>
      </c>
      <c r="R27" s="508">
        <v>1.5</v>
      </c>
      <c r="S27" s="508">
        <v>1.5</v>
      </c>
      <c r="T27" s="508">
        <v>1.5</v>
      </c>
      <c r="U27" s="508">
        <v>1.5</v>
      </c>
      <c r="V27" s="508">
        <v>1.5</v>
      </c>
      <c r="W27" s="508">
        <v>1.5</v>
      </c>
      <c r="X27" s="508">
        <v>1.5</v>
      </c>
      <c r="Y27" s="508">
        <v>1.5</v>
      </c>
      <c r="Z27" s="508">
        <v>1.5</v>
      </c>
      <c r="AA27" s="508">
        <v>1.5</v>
      </c>
      <c r="AB27" s="508">
        <v>1.5</v>
      </c>
      <c r="AC27" s="508">
        <v>1.5</v>
      </c>
      <c r="AD27" s="508">
        <v>1.5</v>
      </c>
      <c r="AE27" s="508">
        <v>1.5</v>
      </c>
      <c r="AF27" s="508">
        <v>1.5</v>
      </c>
      <c r="AG27" s="508">
        <v>1.5</v>
      </c>
      <c r="AH27" s="508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239</v>
      </c>
      <c r="C28" s="13"/>
      <c r="D28" s="509">
        <f>Assumptions!$N$54</f>
        <v>1.4999999999999999E-2</v>
      </c>
      <c r="E28" s="509">
        <f>Assumptions!$N$54</f>
        <v>1.4999999999999999E-2</v>
      </c>
      <c r="F28" s="509">
        <f>Assumptions!$N$54</f>
        <v>1.4999999999999999E-2</v>
      </c>
      <c r="G28" s="509">
        <f>Assumptions!$N$54</f>
        <v>1.4999999999999999E-2</v>
      </c>
      <c r="H28" s="509">
        <f>Assumptions!$N$54</f>
        <v>1.4999999999999999E-2</v>
      </c>
      <c r="I28" s="509">
        <f>Assumptions!$N$54</f>
        <v>1.4999999999999999E-2</v>
      </c>
      <c r="J28" s="509">
        <f>Assumptions!$N$54</f>
        <v>1.4999999999999999E-2</v>
      </c>
      <c r="K28" s="509">
        <f>Assumptions!$N$54</f>
        <v>1.4999999999999999E-2</v>
      </c>
      <c r="L28" s="509">
        <f>Assumptions!$N$54</f>
        <v>1.4999999999999999E-2</v>
      </c>
      <c r="M28" s="509">
        <f>Assumptions!$N$54</f>
        <v>1.4999999999999999E-2</v>
      </c>
      <c r="N28" s="509">
        <f>Assumptions!$N$54</f>
        <v>1.4999999999999999E-2</v>
      </c>
      <c r="O28" s="509">
        <f>Assumptions!$N$54</f>
        <v>1.4999999999999999E-2</v>
      </c>
      <c r="P28" s="509">
        <f>Assumptions!$N$54</f>
        <v>1.4999999999999999E-2</v>
      </c>
      <c r="Q28" s="509">
        <f>Assumptions!$N$54</f>
        <v>1.4999999999999999E-2</v>
      </c>
      <c r="R28" s="509">
        <f>Assumptions!$N$54</f>
        <v>1.4999999999999999E-2</v>
      </c>
      <c r="S28" s="509">
        <f>Assumptions!$N$54</f>
        <v>1.4999999999999999E-2</v>
      </c>
      <c r="T28" s="509">
        <f>Assumptions!$N$54</f>
        <v>1.4999999999999999E-2</v>
      </c>
      <c r="U28" s="509">
        <f>Assumptions!$N$54</f>
        <v>1.4999999999999999E-2</v>
      </c>
      <c r="V28" s="509">
        <f>Assumptions!$N$54</f>
        <v>1.4999999999999999E-2</v>
      </c>
      <c r="W28" s="509">
        <f>Assumptions!$N$54</f>
        <v>1.4999999999999999E-2</v>
      </c>
      <c r="X28" s="509">
        <f>Assumptions!$N$54</f>
        <v>1.4999999999999999E-2</v>
      </c>
      <c r="Y28" s="509">
        <f>Assumptions!$N$54</f>
        <v>1.4999999999999999E-2</v>
      </c>
      <c r="Z28" s="509">
        <f>Assumptions!$N$54</f>
        <v>1.4999999999999999E-2</v>
      </c>
      <c r="AA28" s="509">
        <f>Assumptions!$N$54</f>
        <v>1.4999999999999999E-2</v>
      </c>
      <c r="AB28" s="509">
        <f>Assumptions!$N$54</f>
        <v>1.4999999999999999E-2</v>
      </c>
      <c r="AC28" s="509">
        <f>Assumptions!$N$54</f>
        <v>1.4999999999999999E-2</v>
      </c>
      <c r="AD28" s="509">
        <f>Assumptions!$N$54</f>
        <v>1.4999999999999999E-2</v>
      </c>
      <c r="AE28" s="509">
        <f>Assumptions!$N$54</f>
        <v>1.4999999999999999E-2</v>
      </c>
      <c r="AF28" s="509">
        <f>Assumptions!$N$54</f>
        <v>1.4999999999999999E-2</v>
      </c>
      <c r="AG28" s="509">
        <f>Assumptions!$N$54</f>
        <v>1.4999999999999999E-2</v>
      </c>
      <c r="AH28" s="509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8">
        <f>Assumptions!U13</f>
        <v>1</v>
      </c>
      <c r="B30" s="43" t="s">
        <v>236</v>
      </c>
      <c r="C30" s="12"/>
      <c r="D30" s="510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11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11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11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11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11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11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11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11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11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11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11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11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11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2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10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11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11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11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11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11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11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1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1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1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1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1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1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1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1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2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1" t="s">
        <v>393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237</v>
      </c>
      <c r="C34" s="12"/>
      <c r="D34" s="496">
        <f>D44*'Price_Technical Assumption'!D30/1000</f>
        <v>33.234773538749991</v>
      </c>
      <c r="E34" s="496">
        <f>E44*'Price_Technical Assumption'!E30/1000</f>
        <v>33.039149290000005</v>
      </c>
      <c r="F34" s="496">
        <f>F44*'Price_Technical Assumption'!F30/1000</f>
        <v>33.374193938749997</v>
      </c>
      <c r="G34" s="496">
        <f>G44*'Price_Technical Assumption'!G30/1000</f>
        <v>33.888306663750001</v>
      </c>
      <c r="H34" s="496">
        <f>H44*'Price_Technical Assumption'!H30/1000</f>
        <v>34.506984688750002</v>
      </c>
      <c r="I34" s="496">
        <f>I44*'Price_Technical Assumption'!I30/1000</f>
        <v>35.164874701249992</v>
      </c>
      <c r="J34" s="496">
        <f>J44*'Price_Technical Assumption'!J30/1000</f>
        <v>35.84454915125</v>
      </c>
      <c r="K34" s="496">
        <f>K44*'Price_Technical Assumption'!K30/1000</f>
        <v>36.576506251250002</v>
      </c>
      <c r="L34" s="496">
        <f>L44*'Price_Technical Assumption'!L30/1000</f>
        <v>37.36074600125</v>
      </c>
      <c r="M34" s="496">
        <f>M44*'Price_Technical Assumption'!M30/1000</f>
        <v>38.197268401249993</v>
      </c>
      <c r="N34" s="496">
        <f>N44*'Price_Technical Assumption'!N30/1000</f>
        <v>39.086073451249995</v>
      </c>
      <c r="O34" s="496">
        <f>O44*'Price_Technical Assumption'!O30/1000</f>
        <v>39.902989857500003</v>
      </c>
      <c r="P34" s="496">
        <f>P44*'Price_Technical Assumption'!P30/1000</f>
        <v>40.630590069999997</v>
      </c>
      <c r="Q34" s="496">
        <f>Q44*'Price_Technical Assumption'!Q30/1000</f>
        <v>42.066184501250007</v>
      </c>
      <c r="R34" s="496">
        <f>R44*'Price_Technical Assumption'!R30/1000</f>
        <v>43.164120151249989</v>
      </c>
      <c r="S34" s="496">
        <f>S44*'Price_Technical Assumption'!S30/1000</f>
        <v>44.314338451249988</v>
      </c>
      <c r="T34" s="496">
        <f>T44*'Price_Technical Assumption'!T30/1000</f>
        <v>45.516839401249996</v>
      </c>
      <c r="U34" s="496">
        <f>U44*'Price_Technical Assumption'!U30/1000</f>
        <v>46.771623001249999</v>
      </c>
      <c r="V34" s="496">
        <f>V44*'Price_Technical Assumption'!V30/1000</f>
        <v>48.07868925124999</v>
      </c>
      <c r="W34" s="496">
        <f>W44*'Price_Technical Assumption'!W30/1000</f>
        <v>49.438038151250005</v>
      </c>
      <c r="X34" s="496">
        <f>X44*'Price_Technical Assumption'!X30/1000</f>
        <v>50.849669701249994</v>
      </c>
      <c r="Y34" s="496">
        <f>Y44*'Price_Technical Assumption'!Y30/1000</f>
        <v>23.004366000000001</v>
      </c>
      <c r="Z34" s="496">
        <f>Z44*'Price_Technical Assumption'!Z30/1000</f>
        <v>23.004366000000001</v>
      </c>
      <c r="AA34" s="496">
        <f>AA44*'Price_Technical Assumption'!AA30/1000</f>
        <v>23.004366000000001</v>
      </c>
      <c r="AB34" s="496">
        <f>AB44*'Price_Technical Assumption'!AB30/1000</f>
        <v>23.004366000000001</v>
      </c>
      <c r="AC34" s="496">
        <f>AC44*'Price_Technical Assumption'!AC30/1000</f>
        <v>23.004366000000001</v>
      </c>
      <c r="AD34" s="496">
        <f>AD44*'Price_Technical Assumption'!AD30/1000</f>
        <v>23.004366000000001</v>
      </c>
      <c r="AE34" s="496">
        <f>AE44*'Price_Technical Assumption'!AE30/1000</f>
        <v>23.004366000000001</v>
      </c>
      <c r="AF34" s="496">
        <f>AF44*'Price_Technical Assumption'!AF30/1000</f>
        <v>23.004366000000001</v>
      </c>
      <c r="AG34" s="496">
        <f>AG44*'Price_Technical Assumption'!AG30/1000</f>
        <v>23.004366000000001</v>
      </c>
      <c r="AH34" s="496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412</v>
      </c>
      <c r="C35" s="476"/>
      <c r="D35" s="513">
        <f>Assumptions!$H$60*(1+Assumptions!$N$11)^(D7)</f>
        <v>2.2703003170767952</v>
      </c>
      <c r="E35" s="513">
        <f>Assumptions!$H$60*(1+Assumptions!$N$11)^(E7)</f>
        <v>2.3384093265890988</v>
      </c>
      <c r="F35" s="513">
        <f>Assumptions!$H$60*(1+Assumptions!$N$11)^(F7)</f>
        <v>2.4085616063867725</v>
      </c>
      <c r="G35" s="513">
        <f>Assumptions!$H$60*(1+Assumptions!$N$11)^(G7)</f>
        <v>2.4808184545783756</v>
      </c>
      <c r="H35" s="513">
        <f>Assumptions!$H$60*(1+Assumptions!$N$11)^(H7)</f>
        <v>2.5552430082157267</v>
      </c>
      <c r="I35" s="513">
        <f>Assumptions!$H$60*(1+Assumptions!$N$11)^(I7)</f>
        <v>2.6319002984621989</v>
      </c>
      <c r="J35" s="513">
        <f>Assumptions!$H$60*(1+Assumptions!$N$11)^(J7)</f>
        <v>2.7108573074160649</v>
      </c>
      <c r="K35" s="513">
        <f>Assumptions!$H$60*(1+Assumptions!$N$11)^(K7)</f>
        <v>2.7921830266385466</v>
      </c>
      <c r="L35" s="513">
        <f>Assumptions!$H$60*(1+Assumptions!$N$11)^(L7)</f>
        <v>2.8759485174377031</v>
      </c>
      <c r="M35" s="513">
        <f>Assumptions!$H$60*(1+Assumptions!$N$11)^(M7)</f>
        <v>2.9622269729608344</v>
      </c>
      <c r="N35" s="513">
        <f>Assumptions!$H$60*(1+Assumptions!$N$11)^(N7)</f>
        <v>3.0510937821496595</v>
      </c>
      <c r="O35" s="513">
        <f>Assumptions!$H$60*(1+Assumptions!$N$11)^(O7)</f>
        <v>3.142626595614149</v>
      </c>
      <c r="P35" s="513">
        <f>Assumptions!$H$60*(1+Assumptions!$N$11)^(P7)</f>
        <v>3.2369053934825738</v>
      </c>
      <c r="Q35" s="513">
        <f>Assumptions!$H$60*(1+Assumptions!$N$11)^(Q7)</f>
        <v>3.334012555287051</v>
      </c>
      <c r="R35" s="513">
        <f>Assumptions!$H$60*(1+Assumptions!$N$11)^(R7)</f>
        <v>3.4340329319456626</v>
      </c>
      <c r="S35" s="513">
        <f>Assumptions!$H$60*(1+Assumptions!$N$11)^(S7)</f>
        <v>3.5370539199040323</v>
      </c>
      <c r="T35" s="513">
        <f>Assumptions!$H$60*(1+Assumptions!$N$11)^(T7)</f>
        <v>3.6431655375011536</v>
      </c>
      <c r="U35" s="513">
        <f>Assumptions!$H$60*(1+Assumptions!$N$11)^(U7)</f>
        <v>3.752460503626188</v>
      </c>
      <c r="V35" s="513">
        <f>Assumptions!$H$60*(1+Assumptions!$N$11)^(V7)</f>
        <v>3.8650343187349741</v>
      </c>
      <c r="W35" s="513">
        <f>Assumptions!$H$60*(1+Assumptions!$N$11)^(W7)</f>
        <v>3.9809853482970232</v>
      </c>
      <c r="X35" s="513">
        <f>Assumptions!$H$60*(1+Assumptions!$N$11)^(X7)</f>
        <v>4.1004149087459334</v>
      </c>
      <c r="Y35" s="513">
        <f>Assumptions!$H$60*(1+Assumptions!$N$11)^(Y7)</f>
        <v>4.2234273560083126</v>
      </c>
      <c r="Z35" s="513">
        <f>Assumptions!$H$60*(1+Assumptions!$N$11)^(Z7)</f>
        <v>4.3501301766885616</v>
      </c>
      <c r="AA35" s="513">
        <f>Assumptions!$H$60*(1+Assumptions!$N$11)^(AA7)</f>
        <v>4.4806340819892192</v>
      </c>
      <c r="AB35" s="513">
        <f>Assumptions!$H$60*(1+Assumptions!$N$11)^(AB7)</f>
        <v>4.6150531044488954</v>
      </c>
      <c r="AC35" s="513">
        <f>Assumptions!$H$60*(1+Assumptions!$N$11)^(AC7)</f>
        <v>4.7535046975823629</v>
      </c>
      <c r="AD35" s="513">
        <f>Assumptions!$H$60*(1+Assumptions!$N$11)^(AD7)</f>
        <v>4.8961098385098341</v>
      </c>
      <c r="AE35" s="513">
        <f>Assumptions!$H$60*(1+Assumptions!$N$11)^(AE7)</f>
        <v>5.0429931336651279</v>
      </c>
      <c r="AF35" s="513">
        <f>Assumptions!$H$60*(1+Assumptions!$N$11)^(AF7)</f>
        <v>5.1942829276750819</v>
      </c>
      <c r="AG35" s="513">
        <f>Assumptions!$H$60*(1+Assumptions!$N$11)^(AG7)</f>
        <v>5.350111415505336</v>
      </c>
      <c r="AH35" s="513">
        <f>Assumptions!$H$60*(1+Assumptions!$N$11)^(AH7)</f>
        <v>5.5106147579704947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421</v>
      </c>
      <c r="C36" s="12"/>
      <c r="D36" s="493">
        <f>SUM(D34:D35)</f>
        <v>35.505073855826787</v>
      </c>
      <c r="E36" s="493">
        <f t="shared" ref="E36:AH36" si="5">SUM(E34:E35)</f>
        <v>35.377558616589106</v>
      </c>
      <c r="F36" s="493">
        <f t="shared" si="5"/>
        <v>35.782755545136766</v>
      </c>
      <c r="G36" s="493">
        <f t="shared" si="5"/>
        <v>36.369125118328377</v>
      </c>
      <c r="H36" s="493">
        <f t="shared" si="5"/>
        <v>37.062227696965728</v>
      </c>
      <c r="I36" s="493">
        <f t="shared" si="5"/>
        <v>37.796774999712191</v>
      </c>
      <c r="J36" s="493">
        <f t="shared" si="5"/>
        <v>38.555406458666063</v>
      </c>
      <c r="K36" s="493">
        <f t="shared" si="5"/>
        <v>39.368689277888549</v>
      </c>
      <c r="L36" s="493">
        <f t="shared" si="5"/>
        <v>40.236694518687706</v>
      </c>
      <c r="M36" s="493">
        <f t="shared" si="5"/>
        <v>41.159495374210827</v>
      </c>
      <c r="N36" s="493">
        <f t="shared" si="5"/>
        <v>42.137167233399651</v>
      </c>
      <c r="O36" s="493">
        <f t="shared" si="5"/>
        <v>43.04561645311415</v>
      </c>
      <c r="P36" s="493">
        <f t="shared" si="5"/>
        <v>43.86749546348257</v>
      </c>
      <c r="Q36" s="493">
        <f t="shared" si="5"/>
        <v>45.40019705653706</v>
      </c>
      <c r="R36" s="493">
        <f t="shared" si="5"/>
        <v>46.598153083195655</v>
      </c>
      <c r="S36" s="493">
        <f t="shared" si="5"/>
        <v>47.85139237115402</v>
      </c>
      <c r="T36" s="493">
        <f t="shared" si="5"/>
        <v>49.16000493875115</v>
      </c>
      <c r="U36" s="493">
        <f t="shared" si="5"/>
        <v>50.524083504876188</v>
      </c>
      <c r="V36" s="493">
        <f t="shared" si="5"/>
        <v>51.943723569984968</v>
      </c>
      <c r="W36" s="493">
        <f t="shared" si="5"/>
        <v>53.419023499547031</v>
      </c>
      <c r="X36" s="493">
        <f t="shared" si="5"/>
        <v>54.950084609995926</v>
      </c>
      <c r="Y36" s="493">
        <f t="shared" si="5"/>
        <v>27.227793356008313</v>
      </c>
      <c r="Z36" s="493">
        <f t="shared" si="5"/>
        <v>27.354496176688563</v>
      </c>
      <c r="AA36" s="493">
        <f t="shared" si="5"/>
        <v>27.48500008198922</v>
      </c>
      <c r="AB36" s="493">
        <f t="shared" si="5"/>
        <v>27.619419104448895</v>
      </c>
      <c r="AC36" s="493">
        <f t="shared" si="5"/>
        <v>27.757870697582362</v>
      </c>
      <c r="AD36" s="493">
        <f t="shared" si="5"/>
        <v>27.900475838509834</v>
      </c>
      <c r="AE36" s="493">
        <f t="shared" si="5"/>
        <v>28.047359133665129</v>
      </c>
      <c r="AF36" s="493">
        <f t="shared" si="5"/>
        <v>28.198648927675084</v>
      </c>
      <c r="AG36" s="493">
        <f t="shared" si="5"/>
        <v>28.354477415505336</v>
      </c>
      <c r="AH36" s="493">
        <f t="shared" si="5"/>
        <v>28.514980757970495</v>
      </c>
      <c r="AI36" s="496"/>
      <c r="AJ36" s="496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6"/>
      <c r="E37" s="496"/>
      <c r="F37" s="496"/>
      <c r="G37" s="496"/>
      <c r="H37" s="496"/>
      <c r="I37" s="496"/>
      <c r="J37" s="496"/>
      <c r="K37" s="496"/>
      <c r="L37" s="496"/>
      <c r="M37" s="496"/>
      <c r="N37" s="496"/>
      <c r="O37" s="496"/>
      <c r="P37" s="496"/>
      <c r="Q37" s="496"/>
      <c r="R37" s="496"/>
      <c r="S37" s="496"/>
      <c r="T37" s="496"/>
      <c r="U37" s="496"/>
      <c r="V37" s="496"/>
      <c r="W37" s="496"/>
      <c r="X37" s="496"/>
      <c r="Y37" s="496"/>
      <c r="Z37" s="496"/>
      <c r="AA37" s="496"/>
      <c r="AB37" s="496"/>
      <c r="AC37" s="496"/>
      <c r="AD37" s="496"/>
      <c r="AE37" s="496"/>
      <c r="AF37" s="496"/>
      <c r="AG37" s="496"/>
      <c r="AH37" s="496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8" t="str">
        <f>Assumptions!W14</f>
        <v>Pass-through</v>
      </c>
      <c r="B38" s="43" t="s">
        <v>245</v>
      </c>
      <c r="C38" s="12"/>
      <c r="D38" s="510">
        <f>IF($A$38="Pass-through",D36,D34)</f>
        <v>35.505073855826787</v>
      </c>
      <c r="E38" s="511">
        <f t="shared" ref="E38:AH38" si="6">IF($A$38="Pass-through",E36,E34)</f>
        <v>35.377558616589106</v>
      </c>
      <c r="F38" s="511">
        <f t="shared" si="6"/>
        <v>35.782755545136766</v>
      </c>
      <c r="G38" s="511">
        <f t="shared" si="6"/>
        <v>36.369125118328377</v>
      </c>
      <c r="H38" s="511">
        <f t="shared" si="6"/>
        <v>37.062227696965728</v>
      </c>
      <c r="I38" s="511">
        <f t="shared" si="6"/>
        <v>37.796774999712191</v>
      </c>
      <c r="J38" s="511">
        <f t="shared" si="6"/>
        <v>38.555406458666063</v>
      </c>
      <c r="K38" s="511">
        <f t="shared" si="6"/>
        <v>39.368689277888549</v>
      </c>
      <c r="L38" s="511">
        <f t="shared" si="6"/>
        <v>40.236694518687706</v>
      </c>
      <c r="M38" s="511">
        <f t="shared" si="6"/>
        <v>41.159495374210827</v>
      </c>
      <c r="N38" s="511">
        <f t="shared" si="6"/>
        <v>42.137167233399651</v>
      </c>
      <c r="O38" s="511">
        <f t="shared" si="6"/>
        <v>43.04561645311415</v>
      </c>
      <c r="P38" s="511">
        <f t="shared" si="6"/>
        <v>43.86749546348257</v>
      </c>
      <c r="Q38" s="511">
        <f t="shared" si="6"/>
        <v>45.40019705653706</v>
      </c>
      <c r="R38" s="512">
        <f t="shared" si="6"/>
        <v>46.598153083195655</v>
      </c>
      <c r="S38" s="510">
        <f t="shared" si="6"/>
        <v>47.85139237115402</v>
      </c>
      <c r="T38" s="511">
        <f t="shared" si="6"/>
        <v>49.16000493875115</v>
      </c>
      <c r="U38" s="511">
        <f t="shared" si="6"/>
        <v>50.524083504876188</v>
      </c>
      <c r="V38" s="511">
        <f t="shared" si="6"/>
        <v>51.943723569984968</v>
      </c>
      <c r="W38" s="511">
        <f t="shared" si="6"/>
        <v>53.419023499547031</v>
      </c>
      <c r="X38" s="511">
        <f t="shared" si="6"/>
        <v>54.950084609995926</v>
      </c>
      <c r="Y38" s="511">
        <f t="shared" si="6"/>
        <v>27.227793356008313</v>
      </c>
      <c r="Z38" s="511">
        <f t="shared" si="6"/>
        <v>27.354496176688563</v>
      </c>
      <c r="AA38" s="511">
        <f t="shared" si="6"/>
        <v>27.48500008198922</v>
      </c>
      <c r="AB38" s="511">
        <f t="shared" si="6"/>
        <v>27.619419104448895</v>
      </c>
      <c r="AC38" s="511">
        <f t="shared" si="6"/>
        <v>27.757870697582362</v>
      </c>
      <c r="AD38" s="511">
        <f t="shared" si="6"/>
        <v>27.900475838509834</v>
      </c>
      <c r="AE38" s="511">
        <f t="shared" si="6"/>
        <v>28.047359133665129</v>
      </c>
      <c r="AF38" s="511">
        <f t="shared" si="6"/>
        <v>28.198648927675084</v>
      </c>
      <c r="AG38" s="511">
        <f t="shared" si="6"/>
        <v>28.354477415505336</v>
      </c>
      <c r="AH38" s="512">
        <f t="shared" si="6"/>
        <v>28.514980757970495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1" t="s">
        <v>403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404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406</v>
      </c>
      <c r="C43" s="12"/>
      <c r="D43" s="518">
        <v>0.02</v>
      </c>
      <c r="E43" s="518">
        <v>0.02</v>
      </c>
      <c r="F43" s="518">
        <v>0.02</v>
      </c>
      <c r="G43" s="518">
        <v>0.02</v>
      </c>
      <c r="H43" s="518">
        <v>0.02</v>
      </c>
      <c r="I43" s="518">
        <v>0.02</v>
      </c>
      <c r="J43" s="518">
        <v>0.02</v>
      </c>
      <c r="K43" s="518">
        <v>0.02</v>
      </c>
      <c r="L43" s="518">
        <v>0.02</v>
      </c>
      <c r="M43" s="518">
        <v>0.02</v>
      </c>
      <c r="N43" s="518">
        <v>0.02</v>
      </c>
      <c r="O43" s="518">
        <v>0.02</v>
      </c>
      <c r="P43" s="518">
        <v>0.02</v>
      </c>
      <c r="Q43" s="518">
        <v>0.02</v>
      </c>
      <c r="R43" s="518">
        <v>0.02</v>
      </c>
      <c r="S43" s="518">
        <v>0.02</v>
      </c>
      <c r="T43" s="518">
        <v>0.02</v>
      </c>
      <c r="U43" s="518">
        <v>0.02</v>
      </c>
      <c r="V43" s="518">
        <v>0.02</v>
      </c>
      <c r="W43" s="518">
        <v>0.02</v>
      </c>
      <c r="X43" s="518">
        <v>0.02</v>
      </c>
      <c r="Y43" s="518">
        <v>0.02</v>
      </c>
      <c r="Z43" s="518">
        <v>0.02</v>
      </c>
      <c r="AA43" s="518">
        <v>0.02</v>
      </c>
      <c r="AB43" s="518">
        <v>0.02</v>
      </c>
      <c r="AC43" s="518">
        <v>0.02</v>
      </c>
      <c r="AD43" s="518">
        <v>0.02</v>
      </c>
      <c r="AE43" s="518">
        <v>0.02</v>
      </c>
      <c r="AF43" s="518">
        <v>0.02</v>
      </c>
      <c r="AG43" s="518">
        <v>0.02</v>
      </c>
      <c r="AH43" s="518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405</v>
      </c>
      <c r="C44" s="12"/>
      <c r="D44" s="515">
        <f>D42*(1+D43)</f>
        <v>10302</v>
      </c>
      <c r="E44" s="516">
        <f t="shared" ref="E44:AH44" si="7">E42*(1+E43)</f>
        <v>10302</v>
      </c>
      <c r="F44" s="516">
        <f t="shared" si="7"/>
        <v>10302</v>
      </c>
      <c r="G44" s="516">
        <f t="shared" si="7"/>
        <v>10302</v>
      </c>
      <c r="H44" s="516">
        <f t="shared" si="7"/>
        <v>10302</v>
      </c>
      <c r="I44" s="516">
        <f t="shared" si="7"/>
        <v>10302</v>
      </c>
      <c r="J44" s="516">
        <f t="shared" si="7"/>
        <v>10302</v>
      </c>
      <c r="K44" s="516">
        <f t="shared" si="7"/>
        <v>10302</v>
      </c>
      <c r="L44" s="516">
        <f t="shared" si="7"/>
        <v>10302</v>
      </c>
      <c r="M44" s="516">
        <f t="shared" si="7"/>
        <v>10302</v>
      </c>
      <c r="N44" s="516">
        <f t="shared" si="7"/>
        <v>10302</v>
      </c>
      <c r="O44" s="516">
        <f t="shared" si="7"/>
        <v>10302</v>
      </c>
      <c r="P44" s="516">
        <f t="shared" si="7"/>
        <v>10302</v>
      </c>
      <c r="Q44" s="516">
        <f t="shared" si="7"/>
        <v>10302</v>
      </c>
      <c r="R44" s="517">
        <f t="shared" si="7"/>
        <v>10302</v>
      </c>
      <c r="S44" s="515">
        <f t="shared" si="7"/>
        <v>10302</v>
      </c>
      <c r="T44" s="516">
        <f t="shared" si="7"/>
        <v>10302</v>
      </c>
      <c r="U44" s="516">
        <f t="shared" si="7"/>
        <v>10302</v>
      </c>
      <c r="V44" s="516">
        <f t="shared" si="7"/>
        <v>10302</v>
      </c>
      <c r="W44" s="516">
        <f t="shared" si="7"/>
        <v>10302</v>
      </c>
      <c r="X44" s="516">
        <f t="shared" si="7"/>
        <v>10302</v>
      </c>
      <c r="Y44" s="516">
        <f t="shared" si="7"/>
        <v>10302</v>
      </c>
      <c r="Z44" s="516">
        <f t="shared" si="7"/>
        <v>10302</v>
      </c>
      <c r="AA44" s="516">
        <f t="shared" si="7"/>
        <v>10302</v>
      </c>
      <c r="AB44" s="516">
        <f t="shared" si="7"/>
        <v>10302</v>
      </c>
      <c r="AC44" s="516">
        <f t="shared" si="7"/>
        <v>10302</v>
      </c>
      <c r="AD44" s="516">
        <f t="shared" si="7"/>
        <v>10302</v>
      </c>
      <c r="AE44" s="516">
        <f t="shared" si="7"/>
        <v>10302</v>
      </c>
      <c r="AF44" s="516">
        <f t="shared" si="7"/>
        <v>10302</v>
      </c>
      <c r="AG44" s="516">
        <f t="shared" si="7"/>
        <v>10302</v>
      </c>
      <c r="AH44" s="517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4" t="s">
        <v>437</v>
      </c>
    </row>
    <row r="4" spans="2:8">
      <c r="C4" s="534" t="s">
        <v>438</v>
      </c>
      <c r="D4" s="537" t="s">
        <v>197</v>
      </c>
      <c r="F4" s="538" t="s">
        <v>23</v>
      </c>
      <c r="G4" s="538" t="s">
        <v>439</v>
      </c>
    </row>
    <row r="5" spans="2:8">
      <c r="B5" s="535">
        <v>36892</v>
      </c>
      <c r="C5" s="536">
        <v>4.0555000000000003</v>
      </c>
      <c r="F5">
        <v>2001</v>
      </c>
      <c r="G5" s="536">
        <f>D16</f>
        <v>3.1783749999999995</v>
      </c>
    </row>
    <row r="6" spans="2:8">
      <c r="B6" s="535">
        <v>36923</v>
      </c>
      <c r="C6" s="536">
        <v>3.8955000000000006</v>
      </c>
      <c r="F6">
        <v>2002</v>
      </c>
      <c r="G6" s="536">
        <f>D28</f>
        <v>3.1596666666666668</v>
      </c>
    </row>
    <row r="7" spans="2:8">
      <c r="B7" s="535">
        <v>36951</v>
      </c>
      <c r="C7" s="536">
        <v>3.3430000000000004</v>
      </c>
      <c r="F7">
        <v>2003</v>
      </c>
      <c r="G7" s="536">
        <f>D40</f>
        <v>3.1917083333333331</v>
      </c>
      <c r="H7" s="539">
        <f t="shared" ref="H7:H18" si="0">G7/G6</f>
        <v>1.0101408376411012</v>
      </c>
    </row>
    <row r="8" spans="2:8">
      <c r="B8" s="535">
        <v>36982</v>
      </c>
      <c r="C8" s="536">
        <v>2.8630000000000004</v>
      </c>
      <c r="F8">
        <v>2004</v>
      </c>
      <c r="G8" s="536">
        <f>D52</f>
        <v>3.2408750000000004</v>
      </c>
      <c r="H8" s="539">
        <f t="shared" si="0"/>
        <v>1.0154044986357882</v>
      </c>
    </row>
    <row r="9" spans="2:8">
      <c r="B9" s="535">
        <v>37012</v>
      </c>
      <c r="C9" s="536">
        <v>2.7810000000000001</v>
      </c>
      <c r="F9">
        <v>2005</v>
      </c>
      <c r="G9" s="536">
        <f>D64</f>
        <v>3.300041666666667</v>
      </c>
      <c r="H9" s="539">
        <f t="shared" si="0"/>
        <v>1.0182563865211298</v>
      </c>
    </row>
    <row r="10" spans="2:8">
      <c r="B10" s="535">
        <v>37043</v>
      </c>
      <c r="C10" s="536">
        <v>2.7930000000000001</v>
      </c>
      <c r="F10">
        <v>2006</v>
      </c>
      <c r="G10" s="536">
        <f>D76</f>
        <v>3.3629583333333333</v>
      </c>
      <c r="H10" s="539">
        <f t="shared" si="0"/>
        <v>1.0190654158407089</v>
      </c>
    </row>
    <row r="11" spans="2:8">
      <c r="B11" s="535">
        <v>37073</v>
      </c>
      <c r="C11" s="536">
        <v>2.8159999999999998</v>
      </c>
      <c r="F11">
        <v>2007</v>
      </c>
      <c r="G11" s="536">
        <f>D88</f>
        <v>3.4279583333333341</v>
      </c>
      <c r="H11" s="539">
        <f t="shared" si="0"/>
        <v>1.0193282204408323</v>
      </c>
    </row>
    <row r="12" spans="2:8">
      <c r="B12" s="535">
        <v>37104</v>
      </c>
      <c r="C12" s="536">
        <v>2.8155000000000006</v>
      </c>
      <c r="F12">
        <v>2008</v>
      </c>
      <c r="G12" s="536">
        <f>D100</f>
        <v>3.4979583333333335</v>
      </c>
      <c r="H12" s="539">
        <f t="shared" si="0"/>
        <v>1.0204203182166254</v>
      </c>
    </row>
    <row r="13" spans="2:8">
      <c r="B13" s="535">
        <v>37135</v>
      </c>
      <c r="C13" s="536">
        <v>2.7960000000000003</v>
      </c>
      <c r="F13">
        <v>2009</v>
      </c>
      <c r="G13" s="536">
        <f>D112</f>
        <v>3.5729583333333337</v>
      </c>
      <c r="H13" s="539">
        <f t="shared" si="0"/>
        <v>1.0214410787244941</v>
      </c>
    </row>
    <row r="14" spans="2:8">
      <c r="B14" s="535">
        <v>37165</v>
      </c>
      <c r="C14" s="536">
        <v>2.8405</v>
      </c>
      <c r="F14">
        <v>2010</v>
      </c>
      <c r="G14" s="536">
        <f>D124</f>
        <v>3.6529583333333329</v>
      </c>
      <c r="H14" s="539">
        <f t="shared" si="0"/>
        <v>1.022390409441289</v>
      </c>
    </row>
    <row r="15" spans="2:8">
      <c r="B15" s="535">
        <v>37196</v>
      </c>
      <c r="C15" s="536">
        <v>3.2795000000000001</v>
      </c>
      <c r="F15">
        <v>2011</v>
      </c>
      <c r="G15" s="536">
        <f>D136</f>
        <v>3.7379583333333333</v>
      </c>
      <c r="H15" s="539">
        <f t="shared" si="0"/>
        <v>1.0232688118077815</v>
      </c>
    </row>
    <row r="16" spans="2:8">
      <c r="B16" s="535">
        <v>37226</v>
      </c>
      <c r="C16" s="536">
        <v>3.8619999999999997</v>
      </c>
      <c r="D16" s="536">
        <f>AVERAGE(C5:C16)</f>
        <v>3.1783749999999995</v>
      </c>
      <c r="F16">
        <v>2012</v>
      </c>
      <c r="G16" s="536">
        <f>D148</f>
        <v>3.8160833333333337</v>
      </c>
      <c r="H16" s="539">
        <f t="shared" si="0"/>
        <v>1.0209004469908931</v>
      </c>
    </row>
    <row r="17" spans="2:8">
      <c r="B17" s="535">
        <v>37257</v>
      </c>
      <c r="C17" s="536">
        <v>4.0724999999999998</v>
      </c>
      <c r="F17">
        <v>2013</v>
      </c>
      <c r="G17" s="536">
        <f>D160</f>
        <v>3.8856666666666668</v>
      </c>
      <c r="H17" s="539">
        <f t="shared" si="0"/>
        <v>1.0182342279387679</v>
      </c>
    </row>
    <row r="18" spans="2:8">
      <c r="B18" s="535">
        <v>37288</v>
      </c>
      <c r="C18" s="536">
        <v>3.9249999999999998</v>
      </c>
      <c r="F18">
        <v>2014</v>
      </c>
      <c r="G18" s="536">
        <f>D172</f>
        <v>4.0229583333333343</v>
      </c>
      <c r="H18" s="539">
        <f t="shared" si="0"/>
        <v>1.0353328472162651</v>
      </c>
    </row>
    <row r="19" spans="2:8">
      <c r="B19" s="535">
        <v>37316</v>
      </c>
      <c r="C19" s="536">
        <v>3.3155000000000001</v>
      </c>
      <c r="F19">
        <v>2015</v>
      </c>
      <c r="G19" s="536">
        <f>D184</f>
        <v>4.127958333333333</v>
      </c>
      <c r="H19" s="539">
        <f>G19/G18</f>
        <v>1.0261001957514677</v>
      </c>
    </row>
    <row r="20" spans="2:8">
      <c r="B20" s="535">
        <v>37347</v>
      </c>
      <c r="C20" s="536">
        <v>2.8290000000000002</v>
      </c>
      <c r="F20">
        <v>2016</v>
      </c>
      <c r="G20" s="536">
        <f>D196</f>
        <v>4.2379583333333333</v>
      </c>
      <c r="H20" s="539">
        <f t="shared" ref="H20:H25" si="1">G20/G19</f>
        <v>1.0266475557933201</v>
      </c>
    </row>
    <row r="21" spans="2:8">
      <c r="B21" s="535">
        <v>37377</v>
      </c>
      <c r="C21" s="536">
        <v>2.77</v>
      </c>
      <c r="F21">
        <v>2017</v>
      </c>
      <c r="G21" s="536">
        <f>D208</f>
        <v>4.3529583333333335</v>
      </c>
      <c r="H21" s="539">
        <f t="shared" si="1"/>
        <v>1.0271357080355124</v>
      </c>
    </row>
    <row r="22" spans="2:8">
      <c r="B22" s="535">
        <v>37408</v>
      </c>
      <c r="C22" s="536">
        <v>2.782</v>
      </c>
      <c r="F22">
        <v>2018</v>
      </c>
      <c r="G22" s="536">
        <f>D220</f>
        <v>4.4729583333333336</v>
      </c>
      <c r="H22" s="539">
        <f t="shared" si="1"/>
        <v>1.0275674589120427</v>
      </c>
    </row>
    <row r="23" spans="2:8">
      <c r="B23" s="535">
        <v>37438</v>
      </c>
      <c r="C23" s="536">
        <v>2.7989999999999999</v>
      </c>
      <c r="F23">
        <v>2019</v>
      </c>
      <c r="G23" s="536">
        <f>D232</f>
        <v>4.5979583333333336</v>
      </c>
      <c r="H23" s="539">
        <f t="shared" si="1"/>
        <v>1.0279457107991541</v>
      </c>
    </row>
    <row r="24" spans="2:8">
      <c r="B24" s="535">
        <v>37469</v>
      </c>
      <c r="C24" s="536">
        <v>2.8025000000000002</v>
      </c>
      <c r="F24">
        <v>2020</v>
      </c>
      <c r="G24" s="536">
        <f>D244</f>
        <v>4.7279583333333335</v>
      </c>
      <c r="H24" s="539">
        <f t="shared" si="1"/>
        <v>1.028273418455655</v>
      </c>
    </row>
    <row r="25" spans="2:8">
      <c r="B25" s="535">
        <v>37500</v>
      </c>
      <c r="C25" s="536">
        <v>2.7820000000000005</v>
      </c>
      <c r="F25">
        <v>2021</v>
      </c>
      <c r="G25" s="536">
        <f>D256</f>
        <v>4.8629583333333333</v>
      </c>
      <c r="H25" s="539">
        <f t="shared" si="1"/>
        <v>1.0285535511276009</v>
      </c>
    </row>
    <row r="26" spans="2:8">
      <c r="B26" s="535">
        <v>37530</v>
      </c>
      <c r="C26" s="536">
        <v>2.8255000000000003</v>
      </c>
    </row>
    <row r="27" spans="2:8">
      <c r="B27" s="535">
        <v>37561</v>
      </c>
      <c r="C27" s="536">
        <v>3.2965</v>
      </c>
    </row>
    <row r="28" spans="2:8">
      <c r="B28" s="535">
        <v>37591</v>
      </c>
      <c r="C28" s="536">
        <v>3.7165000000000004</v>
      </c>
      <c r="D28" s="536">
        <f>AVERAGE(C17:C28)</f>
        <v>3.1596666666666668</v>
      </c>
    </row>
    <row r="29" spans="2:8">
      <c r="B29" s="535">
        <v>37622</v>
      </c>
      <c r="C29" s="536">
        <v>4.0724999999999998</v>
      </c>
    </row>
    <row r="30" spans="2:8">
      <c r="B30" s="535">
        <v>37653</v>
      </c>
      <c r="C30" s="536">
        <v>3.9369999999999998</v>
      </c>
    </row>
    <row r="31" spans="2:8">
      <c r="B31" s="535">
        <v>37681</v>
      </c>
      <c r="C31" s="536">
        <v>3.3580000000000001</v>
      </c>
    </row>
    <row r="32" spans="2:8">
      <c r="B32" s="535">
        <v>37712</v>
      </c>
      <c r="C32" s="536">
        <v>2.8640000000000003</v>
      </c>
    </row>
    <row r="33" spans="2:4">
      <c r="B33" s="535">
        <v>37742</v>
      </c>
      <c r="C33" s="536">
        <v>2.8050000000000002</v>
      </c>
    </row>
    <row r="34" spans="2:4">
      <c r="B34" s="535">
        <v>37773</v>
      </c>
      <c r="C34" s="536">
        <v>2.8170000000000002</v>
      </c>
    </row>
    <row r="35" spans="2:4">
      <c r="B35" s="535">
        <v>37803</v>
      </c>
      <c r="C35" s="536">
        <v>2.8340000000000001</v>
      </c>
    </row>
    <row r="36" spans="2:4">
      <c r="B36" s="535">
        <v>37834</v>
      </c>
      <c r="C36" s="536">
        <v>2.8374999999999999</v>
      </c>
    </row>
    <row r="37" spans="2:4">
      <c r="B37" s="535">
        <v>37865</v>
      </c>
      <c r="C37" s="536">
        <v>2.8170000000000002</v>
      </c>
    </row>
    <row r="38" spans="2:4">
      <c r="B38" s="535">
        <v>37895</v>
      </c>
      <c r="C38" s="536">
        <v>2.8605</v>
      </c>
    </row>
    <row r="39" spans="2:4">
      <c r="B39" s="535">
        <v>37926</v>
      </c>
      <c r="C39" s="536">
        <v>3.3364999999999996</v>
      </c>
    </row>
    <row r="40" spans="2:4">
      <c r="B40" s="535">
        <v>37956</v>
      </c>
      <c r="C40" s="536">
        <v>3.7615000000000003</v>
      </c>
      <c r="D40" s="536">
        <f>AVERAGE(C29:C40)</f>
        <v>3.1917083333333331</v>
      </c>
    </row>
    <row r="41" spans="2:4">
      <c r="B41" s="535">
        <v>37987</v>
      </c>
      <c r="C41" s="536">
        <v>4.1325000000000003</v>
      </c>
    </row>
    <row r="42" spans="2:4">
      <c r="B42" s="535">
        <v>38018</v>
      </c>
      <c r="C42" s="536">
        <v>3.9970000000000003</v>
      </c>
    </row>
    <row r="43" spans="2:4">
      <c r="B43" s="535">
        <v>38047</v>
      </c>
      <c r="C43" s="536">
        <v>3.4079999999999999</v>
      </c>
    </row>
    <row r="44" spans="2:4">
      <c r="B44" s="535">
        <v>38078</v>
      </c>
      <c r="C44" s="536">
        <v>2.9089999999999998</v>
      </c>
    </row>
    <row r="45" spans="2:4">
      <c r="B45" s="535">
        <v>38108</v>
      </c>
      <c r="C45" s="536">
        <v>2.85</v>
      </c>
    </row>
    <row r="46" spans="2:4">
      <c r="B46" s="535">
        <v>38139</v>
      </c>
      <c r="C46" s="536">
        <v>2.8619999999999997</v>
      </c>
    </row>
    <row r="47" spans="2:4">
      <c r="B47" s="535">
        <v>38169</v>
      </c>
      <c r="C47" s="536">
        <v>2.879</v>
      </c>
    </row>
    <row r="48" spans="2:4">
      <c r="B48" s="535">
        <v>38200</v>
      </c>
      <c r="C48" s="536">
        <v>2.8824999999999998</v>
      </c>
    </row>
    <row r="49" spans="2:4">
      <c r="B49" s="535">
        <v>38231</v>
      </c>
      <c r="C49" s="536">
        <v>2.8620000000000001</v>
      </c>
    </row>
    <row r="50" spans="2:4">
      <c r="B50" s="535">
        <v>38261</v>
      </c>
      <c r="C50" s="536">
        <v>2.9055000000000004</v>
      </c>
    </row>
    <row r="51" spans="2:4">
      <c r="B51" s="535">
        <v>38292</v>
      </c>
      <c r="C51" s="536">
        <v>3.3865000000000003</v>
      </c>
    </row>
    <row r="52" spans="2:4">
      <c r="B52" s="535">
        <v>38322</v>
      </c>
      <c r="C52" s="536">
        <v>3.8165000000000004</v>
      </c>
      <c r="D52" s="536">
        <f>AVERAGE(C41:C52)</f>
        <v>3.2408750000000004</v>
      </c>
    </row>
    <row r="53" spans="2:4">
      <c r="B53" s="535">
        <v>38353</v>
      </c>
      <c r="C53" s="536">
        <v>4.2024999999999997</v>
      </c>
    </row>
    <row r="54" spans="2:4">
      <c r="B54" s="535">
        <v>38384</v>
      </c>
      <c r="C54" s="536">
        <v>4.0669999999999993</v>
      </c>
    </row>
    <row r="55" spans="2:4">
      <c r="B55" s="535">
        <v>38412</v>
      </c>
      <c r="C55" s="536">
        <v>3.468</v>
      </c>
    </row>
    <row r="56" spans="2:4">
      <c r="B56" s="535">
        <v>38443</v>
      </c>
      <c r="C56" s="536">
        <v>2.964</v>
      </c>
    </row>
    <row r="57" spans="2:4">
      <c r="B57" s="535">
        <v>38473</v>
      </c>
      <c r="C57" s="536">
        <v>2.9049999999999998</v>
      </c>
    </row>
    <row r="58" spans="2:4">
      <c r="B58" s="535">
        <v>38504</v>
      </c>
      <c r="C58" s="536">
        <v>2.9169999999999998</v>
      </c>
    </row>
    <row r="59" spans="2:4">
      <c r="B59" s="535">
        <v>38534</v>
      </c>
      <c r="C59" s="536">
        <v>2.9339999999999997</v>
      </c>
    </row>
    <row r="60" spans="2:4">
      <c r="B60" s="535">
        <v>38565</v>
      </c>
      <c r="C60" s="536">
        <v>2.9375</v>
      </c>
    </row>
    <row r="61" spans="2:4">
      <c r="B61" s="535">
        <v>38596</v>
      </c>
      <c r="C61" s="536">
        <v>2.9170000000000003</v>
      </c>
    </row>
    <row r="62" spans="2:4">
      <c r="B62" s="535">
        <v>38626</v>
      </c>
      <c r="C62" s="536">
        <v>2.9605000000000001</v>
      </c>
    </row>
    <row r="63" spans="2:4">
      <c r="B63" s="535">
        <v>38657</v>
      </c>
      <c r="C63" s="536">
        <v>3.4464999999999999</v>
      </c>
    </row>
    <row r="64" spans="2:4">
      <c r="B64" s="535">
        <v>38687</v>
      </c>
      <c r="C64" s="536">
        <v>3.8815</v>
      </c>
      <c r="D64" s="536">
        <f>AVERAGE(C53:C64)</f>
        <v>3.300041666666667</v>
      </c>
    </row>
    <row r="65" spans="2:4">
      <c r="B65" s="535">
        <v>38718</v>
      </c>
      <c r="C65" s="536">
        <v>4.2774999999999999</v>
      </c>
    </row>
    <row r="66" spans="2:4">
      <c r="B66" s="535">
        <v>38749</v>
      </c>
      <c r="C66" s="536">
        <v>4.1419999999999995</v>
      </c>
    </row>
    <row r="67" spans="2:4">
      <c r="B67" s="535">
        <v>38777</v>
      </c>
      <c r="C67" s="536">
        <v>3.5330000000000004</v>
      </c>
    </row>
    <row r="68" spans="2:4">
      <c r="B68" s="535">
        <v>38808</v>
      </c>
      <c r="C68" s="536">
        <v>3.024</v>
      </c>
    </row>
    <row r="69" spans="2:4">
      <c r="B69" s="535">
        <v>38838</v>
      </c>
      <c r="C69" s="536">
        <v>2.9649999999999999</v>
      </c>
    </row>
    <row r="70" spans="2:4">
      <c r="B70" s="535">
        <v>38869</v>
      </c>
      <c r="C70" s="536">
        <v>2.9769999999999999</v>
      </c>
    </row>
    <row r="71" spans="2:4">
      <c r="B71" s="535">
        <v>38899</v>
      </c>
      <c r="C71" s="536">
        <v>2.9939999999999998</v>
      </c>
    </row>
    <row r="72" spans="2:4">
      <c r="B72" s="535">
        <v>38930</v>
      </c>
      <c r="C72" s="536">
        <v>2.9975000000000001</v>
      </c>
    </row>
    <row r="73" spans="2:4">
      <c r="B73" s="535">
        <v>38961</v>
      </c>
      <c r="C73" s="536">
        <v>2.9770000000000003</v>
      </c>
    </row>
    <row r="74" spans="2:4">
      <c r="B74" s="535">
        <v>38991</v>
      </c>
      <c r="C74" s="536">
        <v>3.0205000000000002</v>
      </c>
    </row>
    <row r="75" spans="2:4">
      <c r="B75" s="535">
        <v>39022</v>
      </c>
      <c r="C75" s="536">
        <v>3.5065000000000004</v>
      </c>
    </row>
    <row r="76" spans="2:4">
      <c r="B76" s="535">
        <v>39052</v>
      </c>
      <c r="C76" s="536">
        <v>3.9415</v>
      </c>
      <c r="D76" s="536">
        <f>AVERAGE(C65:C76)</f>
        <v>3.3629583333333333</v>
      </c>
    </row>
    <row r="77" spans="2:4">
      <c r="B77" s="535">
        <v>39083</v>
      </c>
      <c r="C77" s="536">
        <v>4.3425000000000002</v>
      </c>
    </row>
    <row r="78" spans="2:4">
      <c r="B78" s="535">
        <v>39114</v>
      </c>
      <c r="C78" s="536">
        <v>4.2069999999999999</v>
      </c>
    </row>
    <row r="79" spans="2:4">
      <c r="B79" s="535">
        <v>39142</v>
      </c>
      <c r="C79" s="536">
        <v>3.5980000000000003</v>
      </c>
    </row>
    <row r="80" spans="2:4">
      <c r="B80" s="535">
        <v>39173</v>
      </c>
      <c r="C80" s="536">
        <v>3.0890000000000004</v>
      </c>
    </row>
    <row r="81" spans="2:4">
      <c r="B81" s="535">
        <v>39203</v>
      </c>
      <c r="C81" s="536">
        <v>3.03</v>
      </c>
    </row>
    <row r="82" spans="2:4">
      <c r="B82" s="535">
        <v>39234</v>
      </c>
      <c r="C82" s="536">
        <v>3.0419999999999998</v>
      </c>
    </row>
    <row r="83" spans="2:4">
      <c r="B83" s="535">
        <v>39264</v>
      </c>
      <c r="C83" s="536">
        <v>3.0590000000000006</v>
      </c>
    </row>
    <row r="84" spans="2:4">
      <c r="B84" s="535">
        <v>39295</v>
      </c>
      <c r="C84" s="536">
        <v>3.0625</v>
      </c>
    </row>
    <row r="85" spans="2:4">
      <c r="B85" s="535">
        <v>39326</v>
      </c>
      <c r="C85" s="536">
        <v>3.0420000000000003</v>
      </c>
    </row>
    <row r="86" spans="2:4">
      <c r="B86" s="535">
        <v>39356</v>
      </c>
      <c r="C86" s="536">
        <v>3.0855000000000001</v>
      </c>
    </row>
    <row r="87" spans="2:4">
      <c r="B87" s="535">
        <v>39387</v>
      </c>
      <c r="C87" s="536">
        <v>3.5714999999999999</v>
      </c>
    </row>
    <row r="88" spans="2:4">
      <c r="B88" s="535">
        <v>39417</v>
      </c>
      <c r="C88" s="536">
        <v>4.0065000000000008</v>
      </c>
      <c r="D88" s="536">
        <f>AVERAGE(C77:C88)</f>
        <v>3.4279583333333341</v>
      </c>
    </row>
    <row r="89" spans="2:4">
      <c r="B89" s="535">
        <v>39448</v>
      </c>
      <c r="C89" s="536">
        <v>4.4124999999999996</v>
      </c>
    </row>
    <row r="90" spans="2:4">
      <c r="B90" s="535">
        <v>39479</v>
      </c>
      <c r="C90" s="536">
        <v>4.2770000000000001</v>
      </c>
    </row>
    <row r="91" spans="2:4">
      <c r="B91" s="535">
        <v>39508</v>
      </c>
      <c r="C91" s="536">
        <v>3.6680000000000001</v>
      </c>
    </row>
    <row r="92" spans="2:4">
      <c r="B92" s="535">
        <v>39539</v>
      </c>
      <c r="C92" s="536">
        <v>3.1590000000000007</v>
      </c>
    </row>
    <row r="93" spans="2:4">
      <c r="B93" s="535">
        <v>39569</v>
      </c>
      <c r="C93" s="536">
        <v>3.1</v>
      </c>
    </row>
    <row r="94" spans="2:4">
      <c r="B94" s="535">
        <v>39600</v>
      </c>
      <c r="C94" s="536">
        <v>3.1119999999999997</v>
      </c>
    </row>
    <row r="95" spans="2:4">
      <c r="B95" s="535">
        <v>39630</v>
      </c>
      <c r="C95" s="536">
        <v>3.1290000000000004</v>
      </c>
    </row>
    <row r="96" spans="2:4">
      <c r="B96" s="535">
        <v>39661</v>
      </c>
      <c r="C96" s="536">
        <v>3.1324999999999998</v>
      </c>
    </row>
    <row r="97" spans="2:4">
      <c r="B97" s="535">
        <v>39692</v>
      </c>
      <c r="C97" s="536">
        <v>3.1120000000000001</v>
      </c>
    </row>
    <row r="98" spans="2:4">
      <c r="B98" s="535">
        <v>39722</v>
      </c>
      <c r="C98" s="536">
        <v>3.1555000000000004</v>
      </c>
    </row>
    <row r="99" spans="2:4">
      <c r="B99" s="535">
        <v>39753</v>
      </c>
      <c r="C99" s="536">
        <v>3.6415000000000002</v>
      </c>
    </row>
    <row r="100" spans="2:4">
      <c r="B100" s="535">
        <v>39783</v>
      </c>
      <c r="C100" s="536">
        <v>4.0765000000000002</v>
      </c>
      <c r="D100" s="536">
        <f>AVERAGE(C89:C100)</f>
        <v>3.4979583333333335</v>
      </c>
    </row>
    <row r="101" spans="2:4">
      <c r="B101" s="535">
        <v>39814</v>
      </c>
      <c r="C101" s="536">
        <v>4.4874999999999998</v>
      </c>
    </row>
    <row r="102" spans="2:4">
      <c r="B102" s="535">
        <v>39845</v>
      </c>
      <c r="C102" s="536">
        <v>4.3519999999999994</v>
      </c>
    </row>
    <row r="103" spans="2:4">
      <c r="B103" s="535">
        <v>39873</v>
      </c>
      <c r="C103" s="536">
        <v>3.7430000000000003</v>
      </c>
    </row>
    <row r="104" spans="2:4">
      <c r="B104" s="535">
        <v>39904</v>
      </c>
      <c r="C104" s="536">
        <v>3.2340000000000004</v>
      </c>
    </row>
    <row r="105" spans="2:4">
      <c r="B105" s="535">
        <v>39934</v>
      </c>
      <c r="C105" s="536">
        <v>3.1749999999999998</v>
      </c>
    </row>
    <row r="106" spans="2:4">
      <c r="B106" s="535">
        <v>39965</v>
      </c>
      <c r="C106" s="536">
        <v>3.1869999999999998</v>
      </c>
    </row>
    <row r="107" spans="2:4">
      <c r="B107" s="535">
        <v>39995</v>
      </c>
      <c r="C107" s="536">
        <v>3.2040000000000006</v>
      </c>
    </row>
    <row r="108" spans="2:4">
      <c r="B108" s="535">
        <v>40026</v>
      </c>
      <c r="C108" s="536">
        <v>3.2075</v>
      </c>
    </row>
    <row r="109" spans="2:4">
      <c r="B109" s="535">
        <v>40057</v>
      </c>
      <c r="C109" s="536">
        <v>3.1870000000000003</v>
      </c>
    </row>
    <row r="110" spans="2:4">
      <c r="B110" s="535">
        <v>40087</v>
      </c>
      <c r="C110" s="536">
        <v>3.2305000000000001</v>
      </c>
    </row>
    <row r="111" spans="2:4">
      <c r="B111" s="535">
        <v>40118</v>
      </c>
      <c r="C111" s="536">
        <v>3.7165000000000004</v>
      </c>
    </row>
    <row r="112" spans="2:4">
      <c r="B112" s="535">
        <v>40148</v>
      </c>
      <c r="C112" s="536">
        <v>4.1515000000000004</v>
      </c>
      <c r="D112" s="536">
        <f>AVERAGE(C101:C112)</f>
        <v>3.5729583333333337</v>
      </c>
    </row>
    <row r="113" spans="2:4">
      <c r="B113" s="535">
        <v>40179</v>
      </c>
      <c r="C113" s="536">
        <v>4.5674999999999999</v>
      </c>
    </row>
    <row r="114" spans="2:4">
      <c r="B114" s="535">
        <v>40210</v>
      </c>
      <c r="C114" s="536">
        <v>4.4319999999999995</v>
      </c>
    </row>
    <row r="115" spans="2:4">
      <c r="B115" s="535">
        <v>40238</v>
      </c>
      <c r="C115" s="536">
        <v>3.8230000000000004</v>
      </c>
    </row>
    <row r="116" spans="2:4">
      <c r="B116" s="535">
        <v>40269</v>
      </c>
      <c r="C116" s="536">
        <v>3.3140000000000005</v>
      </c>
    </row>
    <row r="117" spans="2:4">
      <c r="B117" s="535">
        <v>40299</v>
      </c>
      <c r="C117" s="536">
        <v>3.2549999999999999</v>
      </c>
    </row>
    <row r="118" spans="2:4">
      <c r="B118" s="535">
        <v>40330</v>
      </c>
      <c r="C118" s="536">
        <v>3.2669999999999999</v>
      </c>
    </row>
    <row r="119" spans="2:4">
      <c r="B119" s="535">
        <v>40360</v>
      </c>
      <c r="C119" s="536">
        <v>3.2840000000000003</v>
      </c>
    </row>
    <row r="120" spans="2:4">
      <c r="B120" s="535">
        <v>40391</v>
      </c>
      <c r="C120" s="536">
        <v>3.2875000000000001</v>
      </c>
    </row>
    <row r="121" spans="2:4">
      <c r="B121" s="535">
        <v>40422</v>
      </c>
      <c r="C121" s="536">
        <v>3.2670000000000003</v>
      </c>
    </row>
    <row r="122" spans="2:4">
      <c r="B122" s="535">
        <v>40452</v>
      </c>
      <c r="C122" s="536">
        <v>3.3105000000000002</v>
      </c>
    </row>
    <row r="123" spans="2:4">
      <c r="B123" s="535">
        <v>40483</v>
      </c>
      <c r="C123" s="536">
        <v>3.7965000000000004</v>
      </c>
    </row>
    <row r="124" spans="2:4">
      <c r="B124" s="535">
        <v>40513</v>
      </c>
      <c r="C124" s="536">
        <v>4.2315000000000005</v>
      </c>
      <c r="D124" s="536">
        <f>AVERAGE(C113:C124)</f>
        <v>3.6529583333333329</v>
      </c>
    </row>
    <row r="125" spans="2:4">
      <c r="B125" s="535">
        <v>40544</v>
      </c>
      <c r="C125" s="536">
        <v>4.6524999999999999</v>
      </c>
    </row>
    <row r="126" spans="2:4">
      <c r="B126" s="535">
        <v>40575</v>
      </c>
      <c r="C126" s="536">
        <v>4.5169999999999995</v>
      </c>
    </row>
    <row r="127" spans="2:4">
      <c r="B127" s="535">
        <v>40603</v>
      </c>
      <c r="C127" s="536">
        <v>3.9080000000000004</v>
      </c>
    </row>
    <row r="128" spans="2:4">
      <c r="B128" s="535">
        <v>40634</v>
      </c>
      <c r="C128" s="536">
        <v>3.3990000000000005</v>
      </c>
    </row>
    <row r="129" spans="2:4">
      <c r="B129" s="535">
        <v>40664</v>
      </c>
      <c r="C129" s="536">
        <v>3.34</v>
      </c>
    </row>
    <row r="130" spans="2:4">
      <c r="B130" s="535">
        <v>40695</v>
      </c>
      <c r="C130" s="536">
        <v>3.3519999999999999</v>
      </c>
    </row>
    <row r="131" spans="2:4">
      <c r="B131" s="535">
        <v>40725</v>
      </c>
      <c r="C131" s="536">
        <v>3.3690000000000007</v>
      </c>
    </row>
    <row r="132" spans="2:4">
      <c r="B132" s="535">
        <v>40756</v>
      </c>
      <c r="C132" s="536">
        <v>3.3725000000000001</v>
      </c>
    </row>
    <row r="133" spans="2:4">
      <c r="B133" s="535">
        <v>40787</v>
      </c>
      <c r="C133" s="536">
        <v>3.3520000000000003</v>
      </c>
    </row>
    <row r="134" spans="2:4">
      <c r="B134" s="535">
        <v>40817</v>
      </c>
      <c r="C134" s="536">
        <v>3.3955000000000002</v>
      </c>
    </row>
    <row r="135" spans="2:4">
      <c r="B135" s="535">
        <v>40848</v>
      </c>
      <c r="C135" s="536">
        <v>3.8815000000000004</v>
      </c>
    </row>
    <row r="136" spans="2:4">
      <c r="B136" s="535">
        <v>40878</v>
      </c>
      <c r="C136" s="536">
        <v>4.3165000000000004</v>
      </c>
      <c r="D136" s="536">
        <f>AVERAGE(C125:C136)</f>
        <v>3.7379583333333333</v>
      </c>
    </row>
    <row r="137" spans="2:4">
      <c r="B137" s="535">
        <v>40909</v>
      </c>
      <c r="C137" s="536">
        <v>4.7424999999999997</v>
      </c>
    </row>
    <row r="138" spans="2:4">
      <c r="B138" s="535">
        <v>40940</v>
      </c>
      <c r="C138" s="536">
        <v>4.6069999999999993</v>
      </c>
    </row>
    <row r="139" spans="2:4">
      <c r="B139" s="535">
        <v>40969</v>
      </c>
      <c r="C139" s="536">
        <v>3.9980000000000002</v>
      </c>
    </row>
    <row r="140" spans="2:4">
      <c r="B140" s="535">
        <v>41000</v>
      </c>
      <c r="C140" s="536">
        <v>3.4890000000000008</v>
      </c>
    </row>
    <row r="141" spans="2:4">
      <c r="B141" s="535">
        <v>41030</v>
      </c>
      <c r="C141" s="536">
        <v>3.43</v>
      </c>
    </row>
    <row r="142" spans="2:4">
      <c r="B142" s="535">
        <v>41061</v>
      </c>
      <c r="C142" s="536">
        <v>3.4419999999999997</v>
      </c>
    </row>
    <row r="143" spans="2:4">
      <c r="B143" s="535">
        <v>41091</v>
      </c>
      <c r="C143" s="536">
        <v>3.4590000000000005</v>
      </c>
    </row>
    <row r="144" spans="2:4">
      <c r="B144" s="535">
        <v>41122</v>
      </c>
      <c r="C144" s="536">
        <v>3.4624999999999999</v>
      </c>
    </row>
    <row r="145" spans="2:4">
      <c r="B145" s="535">
        <v>41153</v>
      </c>
      <c r="C145" s="536">
        <v>3.4420000000000002</v>
      </c>
    </row>
    <row r="146" spans="2:4">
      <c r="B146" s="535">
        <v>41183</v>
      </c>
      <c r="C146" s="536">
        <v>3.4855</v>
      </c>
    </row>
    <row r="147" spans="2:4">
      <c r="B147" s="535">
        <v>41214</v>
      </c>
      <c r="C147" s="536">
        <v>3.9715000000000003</v>
      </c>
    </row>
    <row r="148" spans="2:4">
      <c r="B148" s="535">
        <v>41244</v>
      </c>
      <c r="C148" s="536">
        <v>4.2640000000000011</v>
      </c>
      <c r="D148" s="536">
        <f>AVERAGE(C137:C148)</f>
        <v>3.8160833333333337</v>
      </c>
    </row>
    <row r="149" spans="2:4">
      <c r="B149" s="535">
        <v>41275</v>
      </c>
      <c r="C149" s="536">
        <v>4.3899999999999997</v>
      </c>
    </row>
    <row r="150" spans="2:4">
      <c r="B150" s="535">
        <v>41306</v>
      </c>
      <c r="C150" s="536">
        <v>4.702</v>
      </c>
    </row>
    <row r="151" spans="2:4">
      <c r="B151" s="535">
        <v>41334</v>
      </c>
      <c r="C151" s="536">
        <v>4.093</v>
      </c>
    </row>
    <row r="152" spans="2:4">
      <c r="B152" s="535">
        <v>41365</v>
      </c>
      <c r="C152" s="536">
        <v>3.5840000000000005</v>
      </c>
    </row>
    <row r="153" spans="2:4">
      <c r="B153" s="535">
        <v>41395</v>
      </c>
      <c r="C153" s="536">
        <v>3.5249999999999999</v>
      </c>
    </row>
    <row r="154" spans="2:4">
      <c r="B154" s="535">
        <v>41426</v>
      </c>
      <c r="C154" s="536">
        <v>3.5369999999999999</v>
      </c>
    </row>
    <row r="155" spans="2:4">
      <c r="B155" s="535">
        <v>41456</v>
      </c>
      <c r="C155" s="536">
        <v>3.5540000000000003</v>
      </c>
    </row>
    <row r="156" spans="2:4">
      <c r="B156" s="535">
        <v>41487</v>
      </c>
      <c r="C156" s="536">
        <v>3.5575000000000001</v>
      </c>
    </row>
    <row r="157" spans="2:4">
      <c r="B157" s="535">
        <v>41518</v>
      </c>
      <c r="C157" s="536">
        <v>3.5370000000000004</v>
      </c>
    </row>
    <row r="158" spans="2:4">
      <c r="B158" s="535">
        <v>41548</v>
      </c>
      <c r="C158" s="536">
        <v>3.5805000000000002</v>
      </c>
    </row>
    <row r="159" spans="2:4">
      <c r="B159" s="535">
        <v>41579</v>
      </c>
      <c r="C159" s="536">
        <v>4.0665000000000004</v>
      </c>
    </row>
    <row r="160" spans="2:4">
      <c r="B160" s="535">
        <v>41609</v>
      </c>
      <c r="C160" s="536">
        <v>4.5015000000000009</v>
      </c>
      <c r="D160" s="536">
        <f>AVERAGE(C149:C160)</f>
        <v>3.8856666666666668</v>
      </c>
    </row>
    <row r="161" spans="2:4">
      <c r="B161" s="535">
        <v>41640</v>
      </c>
      <c r="C161" s="536">
        <v>4.9375</v>
      </c>
    </row>
    <row r="162" spans="2:4">
      <c r="B162" s="535">
        <v>41671</v>
      </c>
      <c r="C162" s="536">
        <v>4.8019999999999996</v>
      </c>
    </row>
    <row r="163" spans="2:4">
      <c r="B163" s="535">
        <v>41699</v>
      </c>
      <c r="C163" s="536">
        <v>4.1930000000000005</v>
      </c>
    </row>
    <row r="164" spans="2:4">
      <c r="B164" s="535">
        <v>41730</v>
      </c>
      <c r="C164" s="536">
        <v>3.6840000000000006</v>
      </c>
    </row>
    <row r="165" spans="2:4">
      <c r="B165" s="535">
        <v>41760</v>
      </c>
      <c r="C165" s="536">
        <v>3.625</v>
      </c>
    </row>
    <row r="166" spans="2:4">
      <c r="B166" s="535">
        <v>41791</v>
      </c>
      <c r="C166" s="536">
        <v>3.637</v>
      </c>
    </row>
    <row r="167" spans="2:4">
      <c r="B167" s="535">
        <v>41821</v>
      </c>
      <c r="C167" s="536">
        <v>3.6540000000000004</v>
      </c>
    </row>
    <row r="168" spans="2:4">
      <c r="B168" s="535">
        <v>41852</v>
      </c>
      <c r="C168" s="536">
        <v>3.6575000000000002</v>
      </c>
    </row>
    <row r="169" spans="2:4">
      <c r="B169" s="535">
        <v>41883</v>
      </c>
      <c r="C169" s="536">
        <v>3.6370000000000005</v>
      </c>
    </row>
    <row r="170" spans="2:4">
      <c r="B170" s="535">
        <v>41913</v>
      </c>
      <c r="C170" s="536">
        <v>3.6805000000000003</v>
      </c>
    </row>
    <row r="171" spans="2:4">
      <c r="B171" s="535">
        <v>41944</v>
      </c>
      <c r="C171" s="536">
        <v>4.166500000000001</v>
      </c>
    </row>
    <row r="172" spans="2:4">
      <c r="B172" s="535">
        <v>41974</v>
      </c>
      <c r="C172" s="536">
        <v>4.6015000000000006</v>
      </c>
      <c r="D172" s="536">
        <f>AVERAGE(C161:C172)</f>
        <v>4.0229583333333343</v>
      </c>
    </row>
    <row r="173" spans="2:4">
      <c r="B173" s="535">
        <v>42005</v>
      </c>
      <c r="C173" s="536">
        <v>5.0425000000000004</v>
      </c>
    </row>
    <row r="174" spans="2:4">
      <c r="B174" s="535">
        <v>42036</v>
      </c>
      <c r="C174" s="536">
        <v>4.907</v>
      </c>
    </row>
    <row r="175" spans="2:4">
      <c r="B175" s="535">
        <v>42064</v>
      </c>
      <c r="C175" s="536">
        <v>4.298</v>
      </c>
    </row>
    <row r="176" spans="2:4">
      <c r="B176" s="535">
        <v>42095</v>
      </c>
      <c r="C176" s="536">
        <v>3.7890000000000006</v>
      </c>
    </row>
    <row r="177" spans="2:4">
      <c r="B177" s="535">
        <v>42125</v>
      </c>
      <c r="C177" s="536">
        <v>3.73</v>
      </c>
    </row>
    <row r="178" spans="2:4">
      <c r="B178" s="535">
        <v>42156</v>
      </c>
      <c r="C178" s="536">
        <v>3.742</v>
      </c>
    </row>
    <row r="179" spans="2:4">
      <c r="B179" s="535">
        <v>42186</v>
      </c>
      <c r="C179" s="536">
        <v>3.7590000000000003</v>
      </c>
    </row>
    <row r="180" spans="2:4">
      <c r="B180" s="535">
        <v>42217</v>
      </c>
      <c r="C180" s="536">
        <v>3.7625000000000002</v>
      </c>
    </row>
    <row r="181" spans="2:4">
      <c r="B181" s="535">
        <v>42248</v>
      </c>
      <c r="C181" s="536">
        <v>3.7420000000000004</v>
      </c>
    </row>
    <row r="182" spans="2:4">
      <c r="B182" s="535">
        <v>42278</v>
      </c>
      <c r="C182" s="536">
        <v>3.7855000000000003</v>
      </c>
    </row>
    <row r="183" spans="2:4">
      <c r="B183" s="535">
        <v>42309</v>
      </c>
      <c r="C183" s="536">
        <v>4.2715000000000005</v>
      </c>
    </row>
    <row r="184" spans="2:4">
      <c r="B184" s="535">
        <v>42339</v>
      </c>
      <c r="C184" s="536">
        <v>4.706500000000001</v>
      </c>
      <c r="D184" s="536">
        <f>AVERAGE(C173:C184)</f>
        <v>4.127958333333333</v>
      </c>
    </row>
    <row r="185" spans="2:4">
      <c r="B185" s="535">
        <v>42370</v>
      </c>
      <c r="C185" s="536">
        <v>5.1524999999999999</v>
      </c>
    </row>
    <row r="186" spans="2:4">
      <c r="B186" s="535">
        <v>42401</v>
      </c>
      <c r="C186" s="536">
        <v>5.0169999999999995</v>
      </c>
    </row>
    <row r="187" spans="2:4">
      <c r="B187" s="535">
        <v>42430</v>
      </c>
      <c r="C187" s="536">
        <v>4.4080000000000004</v>
      </c>
    </row>
    <row r="188" spans="2:4">
      <c r="B188" s="535">
        <v>42461</v>
      </c>
      <c r="C188" s="536">
        <v>3.8990000000000005</v>
      </c>
    </row>
    <row r="189" spans="2:4">
      <c r="B189" s="535">
        <v>42491</v>
      </c>
      <c r="C189" s="536">
        <v>3.84</v>
      </c>
    </row>
    <row r="190" spans="2:4">
      <c r="B190" s="535">
        <v>42522</v>
      </c>
      <c r="C190" s="536">
        <v>3.8519999999999999</v>
      </c>
    </row>
    <row r="191" spans="2:4">
      <c r="B191" s="535">
        <v>42552</v>
      </c>
      <c r="C191" s="536">
        <v>3.8690000000000007</v>
      </c>
    </row>
    <row r="192" spans="2:4">
      <c r="B192" s="535">
        <v>42583</v>
      </c>
      <c r="C192" s="536">
        <v>3.8725000000000001</v>
      </c>
    </row>
    <row r="193" spans="2:4">
      <c r="B193" s="535">
        <v>42614</v>
      </c>
      <c r="C193" s="536">
        <v>3.8520000000000003</v>
      </c>
    </row>
    <row r="194" spans="2:4">
      <c r="B194" s="535">
        <v>42644</v>
      </c>
      <c r="C194" s="536">
        <v>3.8955000000000002</v>
      </c>
    </row>
    <row r="195" spans="2:4">
      <c r="B195" s="535">
        <v>42675</v>
      </c>
      <c r="C195" s="536">
        <v>4.3815000000000008</v>
      </c>
    </row>
    <row r="196" spans="2:4">
      <c r="B196" s="535">
        <v>42705</v>
      </c>
      <c r="C196" s="536">
        <v>4.8165000000000004</v>
      </c>
      <c r="D196" s="536">
        <f>AVERAGE(C185:C196)</f>
        <v>4.2379583333333333</v>
      </c>
    </row>
    <row r="197" spans="2:4">
      <c r="B197" s="535">
        <v>42736</v>
      </c>
      <c r="C197" s="536">
        <v>5.2675000000000001</v>
      </c>
    </row>
    <row r="198" spans="2:4">
      <c r="B198" s="535">
        <v>42767</v>
      </c>
      <c r="C198" s="536">
        <v>5.1319999999999997</v>
      </c>
    </row>
    <row r="199" spans="2:4">
      <c r="B199" s="535">
        <v>42795</v>
      </c>
      <c r="C199" s="536">
        <v>4.5230000000000006</v>
      </c>
    </row>
    <row r="200" spans="2:4">
      <c r="B200" s="535">
        <v>42826</v>
      </c>
      <c r="C200" s="536">
        <v>4.0140000000000002</v>
      </c>
    </row>
    <row r="201" spans="2:4">
      <c r="B201" s="535">
        <v>42856</v>
      </c>
      <c r="C201" s="536">
        <v>3.9550000000000001</v>
      </c>
    </row>
    <row r="202" spans="2:4">
      <c r="B202" s="535">
        <v>42887</v>
      </c>
      <c r="C202" s="536">
        <v>3.9670000000000001</v>
      </c>
    </row>
    <row r="203" spans="2:4">
      <c r="B203" s="535">
        <v>42917</v>
      </c>
      <c r="C203" s="536">
        <v>3.9840000000000004</v>
      </c>
    </row>
    <row r="204" spans="2:4">
      <c r="B204" s="535">
        <v>42948</v>
      </c>
      <c r="C204" s="536">
        <v>3.9874999999999998</v>
      </c>
    </row>
    <row r="205" spans="2:4">
      <c r="B205" s="535">
        <v>42979</v>
      </c>
      <c r="C205" s="536">
        <v>3.9670000000000001</v>
      </c>
    </row>
    <row r="206" spans="2:4">
      <c r="B206" s="535">
        <v>43009</v>
      </c>
      <c r="C206" s="536">
        <v>4.0105000000000004</v>
      </c>
    </row>
    <row r="207" spans="2:4">
      <c r="B207" s="535">
        <v>43040</v>
      </c>
      <c r="C207" s="536">
        <v>4.4965000000000011</v>
      </c>
    </row>
    <row r="208" spans="2:4">
      <c r="B208" s="535">
        <v>43070</v>
      </c>
      <c r="C208" s="536">
        <v>4.9315000000000007</v>
      </c>
      <c r="D208" s="536">
        <f>AVERAGE(C197:C208)</f>
        <v>4.3529583333333335</v>
      </c>
    </row>
    <row r="209" spans="2:4">
      <c r="B209" s="535">
        <v>43101</v>
      </c>
      <c r="C209" s="536">
        <v>5.3875000000000002</v>
      </c>
    </row>
    <row r="210" spans="2:4">
      <c r="B210" s="535">
        <v>43132</v>
      </c>
      <c r="C210" s="536">
        <v>5.2519999999999998</v>
      </c>
    </row>
    <row r="211" spans="2:4">
      <c r="B211" s="535">
        <v>43160</v>
      </c>
      <c r="C211" s="536">
        <v>4.6429999999999998</v>
      </c>
    </row>
    <row r="212" spans="2:4">
      <c r="B212" s="535">
        <v>43191</v>
      </c>
      <c r="C212" s="536">
        <v>4.1340000000000003</v>
      </c>
    </row>
    <row r="213" spans="2:4">
      <c r="B213" s="535">
        <v>43221</v>
      </c>
      <c r="C213" s="536">
        <v>4.0750000000000002</v>
      </c>
    </row>
    <row r="214" spans="2:4">
      <c r="B214" s="535">
        <v>43252</v>
      </c>
      <c r="C214" s="536">
        <v>4.0870000000000006</v>
      </c>
    </row>
    <row r="215" spans="2:4">
      <c r="B215" s="535">
        <v>43282</v>
      </c>
      <c r="C215" s="536">
        <v>4.104000000000001</v>
      </c>
    </row>
    <row r="216" spans="2:4">
      <c r="B216" s="535">
        <v>43313</v>
      </c>
      <c r="C216" s="536">
        <v>4.1074999999999999</v>
      </c>
    </row>
    <row r="217" spans="2:4">
      <c r="B217" s="535">
        <v>43344</v>
      </c>
      <c r="C217" s="536">
        <v>4.0869999999999997</v>
      </c>
    </row>
    <row r="218" spans="2:4">
      <c r="B218" s="535">
        <v>43374</v>
      </c>
      <c r="C218" s="536">
        <v>4.1304999999999996</v>
      </c>
    </row>
    <row r="219" spans="2:4">
      <c r="B219" s="535">
        <v>43405</v>
      </c>
      <c r="C219" s="536">
        <v>4.6165000000000012</v>
      </c>
    </row>
    <row r="220" spans="2:4">
      <c r="B220" s="535">
        <v>43435</v>
      </c>
      <c r="C220" s="536">
        <v>5.0515000000000008</v>
      </c>
      <c r="D220" s="536">
        <f>AVERAGE(C209:C220)</f>
        <v>4.4729583333333336</v>
      </c>
    </row>
    <row r="221" spans="2:4">
      <c r="B221" s="535">
        <v>43466</v>
      </c>
      <c r="C221" s="536">
        <v>5.5125000000000002</v>
      </c>
    </row>
    <row r="222" spans="2:4">
      <c r="B222" s="535">
        <v>43497</v>
      </c>
      <c r="C222" s="536">
        <v>5.3769999999999998</v>
      </c>
    </row>
    <row r="223" spans="2:4">
      <c r="B223" s="535">
        <v>43525</v>
      </c>
      <c r="C223" s="536">
        <v>4.7679999999999998</v>
      </c>
    </row>
    <row r="224" spans="2:4">
      <c r="B224" s="535">
        <v>43556</v>
      </c>
      <c r="C224" s="536">
        <v>4.2590000000000003</v>
      </c>
    </row>
    <row r="225" spans="2:4">
      <c r="B225" s="535">
        <v>43586</v>
      </c>
      <c r="C225" s="536">
        <v>4.2</v>
      </c>
    </row>
    <row r="226" spans="2:4">
      <c r="B226" s="535">
        <v>43617</v>
      </c>
      <c r="C226" s="536">
        <v>4.2120000000000006</v>
      </c>
    </row>
    <row r="227" spans="2:4">
      <c r="B227" s="535">
        <v>43647</v>
      </c>
      <c r="C227" s="536">
        <v>4.229000000000001</v>
      </c>
    </row>
    <row r="228" spans="2:4">
      <c r="B228" s="535">
        <v>43678</v>
      </c>
      <c r="C228" s="536">
        <v>4.2324999999999999</v>
      </c>
    </row>
    <row r="229" spans="2:4">
      <c r="B229" s="535">
        <v>43709</v>
      </c>
      <c r="C229" s="536">
        <v>4.2119999999999997</v>
      </c>
    </row>
    <row r="230" spans="2:4">
      <c r="B230" s="535">
        <v>43739</v>
      </c>
      <c r="C230" s="536">
        <v>4.2554999999999996</v>
      </c>
    </row>
    <row r="231" spans="2:4">
      <c r="B231" s="535">
        <v>43770</v>
      </c>
      <c r="C231" s="536">
        <v>4.7415000000000012</v>
      </c>
    </row>
    <row r="232" spans="2:4">
      <c r="B232" s="535">
        <v>43800</v>
      </c>
      <c r="C232" s="536">
        <v>5.1765000000000008</v>
      </c>
      <c r="D232" s="536">
        <f>AVERAGE(C221:C232)</f>
        <v>4.5979583333333336</v>
      </c>
    </row>
    <row r="233" spans="2:4">
      <c r="B233" s="535">
        <v>43831</v>
      </c>
      <c r="C233" s="536">
        <v>5.6425000000000001</v>
      </c>
    </row>
    <row r="234" spans="2:4">
      <c r="B234" s="535">
        <v>43862</v>
      </c>
      <c r="C234" s="536">
        <v>5.5069999999999997</v>
      </c>
    </row>
    <row r="235" spans="2:4">
      <c r="B235" s="535">
        <v>43891</v>
      </c>
      <c r="C235" s="536">
        <v>4.8979999999999997</v>
      </c>
    </row>
    <row r="236" spans="2:4">
      <c r="B236" s="535">
        <v>43922</v>
      </c>
      <c r="C236" s="536">
        <v>4.3890000000000002</v>
      </c>
    </row>
    <row r="237" spans="2:4">
      <c r="B237" s="535">
        <v>43952</v>
      </c>
      <c r="C237" s="536">
        <v>4.33</v>
      </c>
    </row>
    <row r="238" spans="2:4">
      <c r="B238" s="535">
        <v>43983</v>
      </c>
      <c r="C238" s="536">
        <v>4.3420000000000005</v>
      </c>
    </row>
    <row r="239" spans="2:4">
      <c r="B239" s="535">
        <v>44013</v>
      </c>
      <c r="C239" s="536">
        <v>4.3590000000000009</v>
      </c>
    </row>
    <row r="240" spans="2:4">
      <c r="B240" s="535">
        <v>44044</v>
      </c>
      <c r="C240" s="536">
        <v>4.3624999999999998</v>
      </c>
    </row>
    <row r="241" spans="2:4">
      <c r="B241" s="535">
        <v>44075</v>
      </c>
      <c r="C241" s="536">
        <v>4.3419999999999996</v>
      </c>
    </row>
    <row r="242" spans="2:4">
      <c r="B242" s="535">
        <v>44105</v>
      </c>
      <c r="C242" s="536">
        <v>4.3855000000000004</v>
      </c>
    </row>
    <row r="243" spans="2:4">
      <c r="B243" s="535">
        <v>44136</v>
      </c>
      <c r="C243" s="536">
        <v>4.8715000000000011</v>
      </c>
    </row>
    <row r="244" spans="2:4">
      <c r="B244" s="535">
        <v>44166</v>
      </c>
      <c r="C244" s="536">
        <v>5.3065000000000007</v>
      </c>
      <c r="D244" s="536">
        <f>AVERAGE(C233:C244)</f>
        <v>4.7279583333333335</v>
      </c>
    </row>
    <row r="245" spans="2:4">
      <c r="B245" s="535">
        <v>44197</v>
      </c>
      <c r="C245" s="536">
        <v>5.7774999999999999</v>
      </c>
    </row>
    <row r="246" spans="2:4">
      <c r="B246" s="535">
        <v>44228</v>
      </c>
      <c r="C246" s="536">
        <v>5.6420000000000003</v>
      </c>
    </row>
    <row r="247" spans="2:4">
      <c r="B247" s="535">
        <v>44256</v>
      </c>
      <c r="C247" s="536">
        <v>5.0330000000000004</v>
      </c>
    </row>
    <row r="248" spans="2:4">
      <c r="B248" s="535">
        <v>44287</v>
      </c>
      <c r="C248" s="536">
        <v>4.524</v>
      </c>
    </row>
    <row r="249" spans="2:4">
      <c r="B249" s="535">
        <v>44317</v>
      </c>
      <c r="C249" s="536">
        <v>4.4649999999999999</v>
      </c>
    </row>
    <row r="250" spans="2:4">
      <c r="B250" s="535">
        <v>44348</v>
      </c>
      <c r="C250" s="536">
        <v>4.4770000000000003</v>
      </c>
    </row>
    <row r="251" spans="2:4">
      <c r="B251" s="535">
        <v>44378</v>
      </c>
      <c r="C251" s="536">
        <v>4.4940000000000007</v>
      </c>
    </row>
    <row r="252" spans="2:4">
      <c r="B252" s="535">
        <v>44409</v>
      </c>
      <c r="C252" s="536">
        <v>4.4974999999999996</v>
      </c>
    </row>
    <row r="253" spans="2:4">
      <c r="B253" s="535">
        <v>44440</v>
      </c>
      <c r="C253" s="536">
        <v>4.4769999999999994</v>
      </c>
    </row>
    <row r="254" spans="2:4">
      <c r="B254" s="535">
        <v>44470</v>
      </c>
      <c r="C254" s="536">
        <v>4.5205000000000002</v>
      </c>
    </row>
    <row r="255" spans="2:4">
      <c r="B255" s="535">
        <v>44501</v>
      </c>
      <c r="C255" s="536">
        <v>5.0065000000000008</v>
      </c>
    </row>
    <row r="256" spans="2:4">
      <c r="B256" s="535">
        <v>44531</v>
      </c>
      <c r="C256" s="536">
        <v>5.4415000000000004</v>
      </c>
      <c r="D256" s="536">
        <f>AVERAGE(C245:C256)</f>
        <v>4.8629583333333333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="75" workbookViewId="0">
      <selection activeCell="I10" sqref="I10"/>
    </sheetView>
  </sheetViews>
  <sheetFormatPr defaultRowHeight="12.75"/>
  <cols>
    <col min="1" max="1" width="3.7109375" customWidth="1"/>
    <col min="2" max="2" width="31.28515625" customWidth="1"/>
    <col min="3" max="3" width="9.28515625" customWidth="1"/>
    <col min="4" max="4" width="15.140625" customWidth="1"/>
    <col min="5" max="5" width="3" customWidth="1"/>
    <col min="6" max="6" width="15" customWidth="1"/>
  </cols>
  <sheetData>
    <row r="1" spans="2:6" ht="13.5" thickBot="1">
      <c r="B1" t="s">
        <v>468</v>
      </c>
    </row>
    <row r="2" spans="2:6">
      <c r="B2" s="543"/>
      <c r="C2" s="411"/>
      <c r="D2" s="411" t="s">
        <v>463</v>
      </c>
      <c r="E2" s="411"/>
      <c r="F2" s="544" t="s">
        <v>464</v>
      </c>
    </row>
    <row r="3" spans="2:6">
      <c r="B3" s="522" t="s">
        <v>448</v>
      </c>
      <c r="C3" s="178" t="s">
        <v>461</v>
      </c>
      <c r="D3" s="545">
        <v>188</v>
      </c>
      <c r="E3" s="545"/>
      <c r="F3" s="546">
        <v>188</v>
      </c>
    </row>
    <row r="4" spans="2:6">
      <c r="B4" s="522" t="s">
        <v>449</v>
      </c>
      <c r="C4" s="178" t="s">
        <v>461</v>
      </c>
      <c r="D4" s="545"/>
      <c r="E4" s="545"/>
      <c r="F4" s="546">
        <v>32</v>
      </c>
    </row>
    <row r="5" spans="2:6">
      <c r="B5" s="522" t="s">
        <v>450</v>
      </c>
      <c r="C5" s="178" t="s">
        <v>461</v>
      </c>
      <c r="D5" s="545"/>
      <c r="E5" s="545"/>
      <c r="F5" s="546">
        <v>-2</v>
      </c>
    </row>
    <row r="6" spans="2:6">
      <c r="B6" s="522" t="s">
        <v>451</v>
      </c>
      <c r="C6" s="178" t="s">
        <v>461</v>
      </c>
      <c r="D6" s="545"/>
      <c r="E6" s="545"/>
      <c r="F6" s="546">
        <v>6</v>
      </c>
    </row>
    <row r="7" spans="2:6">
      <c r="B7" s="522"/>
      <c r="C7" s="178"/>
      <c r="D7" s="178"/>
      <c r="E7" s="178"/>
      <c r="F7" s="329"/>
    </row>
    <row r="8" spans="2:6">
      <c r="B8" s="522" t="s">
        <v>452</v>
      </c>
      <c r="C8" s="178" t="s">
        <v>461</v>
      </c>
      <c r="D8" s="178">
        <v>188</v>
      </c>
      <c r="E8" s="178"/>
      <c r="F8" s="329">
        <v>224</v>
      </c>
    </row>
    <row r="9" spans="2:6">
      <c r="B9" s="522"/>
      <c r="C9" s="178"/>
      <c r="D9" s="178"/>
      <c r="E9" s="178"/>
      <c r="F9" s="329"/>
    </row>
    <row r="10" spans="2:6">
      <c r="B10" s="522" t="s">
        <v>453</v>
      </c>
      <c r="C10" s="178" t="s">
        <v>462</v>
      </c>
      <c r="D10" s="178">
        <v>1957</v>
      </c>
      <c r="E10" s="178"/>
      <c r="F10" s="329">
        <v>1957</v>
      </c>
    </row>
    <row r="11" spans="2:6">
      <c r="B11" s="522"/>
      <c r="C11" s="178"/>
      <c r="D11" s="178"/>
      <c r="E11" s="178"/>
      <c r="F11" s="329"/>
    </row>
    <row r="12" spans="2:6">
      <c r="B12" s="522" t="s">
        <v>454</v>
      </c>
      <c r="C12" s="178" t="s">
        <v>465</v>
      </c>
      <c r="D12" s="310">
        <v>10409</v>
      </c>
      <c r="E12" s="310"/>
      <c r="F12" s="547">
        <v>8728</v>
      </c>
    </row>
    <row r="13" spans="2:6">
      <c r="B13" s="522"/>
      <c r="C13" s="178"/>
      <c r="D13" s="178"/>
      <c r="E13" s="178"/>
      <c r="F13" s="329"/>
    </row>
    <row r="14" spans="2:6">
      <c r="B14" s="522" t="s">
        <v>455</v>
      </c>
      <c r="C14" s="178" t="s">
        <v>466</v>
      </c>
      <c r="D14" s="548">
        <v>101000</v>
      </c>
      <c r="E14" s="549"/>
      <c r="F14" s="550">
        <v>101000</v>
      </c>
    </row>
    <row r="15" spans="2:6">
      <c r="B15" s="522" t="s">
        <v>456</v>
      </c>
      <c r="C15" s="178" t="s">
        <v>466</v>
      </c>
      <c r="D15" s="545"/>
      <c r="E15" s="545"/>
      <c r="F15" s="551">
        <v>18400</v>
      </c>
    </row>
    <row r="16" spans="2:6">
      <c r="B16" s="522" t="s">
        <v>457</v>
      </c>
      <c r="C16" s="178" t="s">
        <v>466</v>
      </c>
      <c r="D16" s="545"/>
      <c r="E16" s="545"/>
      <c r="F16" s="551">
        <v>-6000</v>
      </c>
    </row>
    <row r="17" spans="2:6">
      <c r="B17" s="522"/>
      <c r="C17" s="178"/>
      <c r="D17" s="178"/>
      <c r="E17" s="178"/>
      <c r="F17" s="329"/>
    </row>
    <row r="18" spans="2:6">
      <c r="B18" s="522" t="s">
        <v>458</v>
      </c>
      <c r="C18" s="178" t="s">
        <v>466</v>
      </c>
      <c r="D18" s="549">
        <v>101000</v>
      </c>
      <c r="E18" s="549"/>
      <c r="F18" s="550">
        <v>113400</v>
      </c>
    </row>
    <row r="19" spans="2:6">
      <c r="B19" s="522"/>
      <c r="C19" s="178" t="s">
        <v>467</v>
      </c>
      <c r="D19" s="178">
        <v>537</v>
      </c>
      <c r="E19" s="178"/>
      <c r="F19" s="329">
        <v>506</v>
      </c>
    </row>
    <row r="20" spans="2:6">
      <c r="B20" s="522"/>
      <c r="C20" s="178"/>
      <c r="D20" s="178"/>
      <c r="E20" s="178"/>
      <c r="F20" s="329"/>
    </row>
    <row r="21" spans="2:6">
      <c r="B21" s="522" t="s">
        <v>459</v>
      </c>
      <c r="C21" s="178" t="s">
        <v>461</v>
      </c>
      <c r="D21" s="178"/>
      <c r="E21" s="178"/>
      <c r="F21" s="329">
        <v>36</v>
      </c>
    </row>
    <row r="22" spans="2:6" ht="13.5" thickBot="1">
      <c r="B22" s="552" t="s">
        <v>460</v>
      </c>
      <c r="C22" s="416" t="s">
        <v>467</v>
      </c>
      <c r="D22" s="416"/>
      <c r="E22" s="416"/>
      <c r="F22" s="553">
        <v>343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92</v>
      </c>
      <c r="B4" s="5"/>
    </row>
    <row r="6" spans="1:3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3" s="6" customFormat="1" ht="13.5" thickBot="1">
      <c r="A7" s="121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119</v>
      </c>
      <c r="C10" s="74">
        <f>IF(C6&lt;Assumptions!$H$19,C6*12*'Price_Technical Assumption'!D21*Assumptions!$H$69,IF(AND(B6&lt;Assumptions!$H$19,C6&gt;Assumptions!$H$19),(1-$C$6)*12*'Price_Technical Assumption'!D21*Assumptions!$H$69,0))</f>
        <v>9806.08</v>
      </c>
      <c r="D10" s="74">
        <f>IF(D6&lt;Assumptions!$H$19,12*'Price_Technical Assumption'!E21*Assumptions!$H$69,IF(AND(C6&lt;Assumptions!$H$19,D6&gt;Assumptions!$H$19),(1-$C$6)*12*'Price_Technical Assumption'!E21*Assumptions!$H$69,0))</f>
        <v>14709.119999999999</v>
      </c>
      <c r="E10" s="74">
        <f>IF(E6&lt;Assumptions!$H$19,12*'Price_Technical Assumption'!F21*Assumptions!$H$69,IF(AND(D6&lt;Assumptions!$H$19,E6&gt;Assumptions!$H$19),(1-$C$6)*12*'Price_Technical Assumption'!F21*Assumptions!$H$69,0))</f>
        <v>14709.119999999999</v>
      </c>
      <c r="F10" s="74">
        <f>IF(F6&lt;Assumptions!$H$19,12*'Price_Technical Assumption'!G21*Assumptions!$H$69,IF(AND(E6&lt;Assumptions!$H$19,F6&gt;Assumptions!$H$19),(1-$C$6)*12*'Price_Technical Assumption'!G21*Assumptions!$H$69,0))</f>
        <v>14709.119999999999</v>
      </c>
      <c r="G10" s="74">
        <f>IF(G6&lt;Assumptions!$H$19,12*'Price_Technical Assumption'!H21*Assumptions!$H$69,IF(AND(F6&lt;Assumptions!$H$19,G6&gt;Assumptions!$H$19),(1-$C$6)*12*'Price_Technical Assumption'!H21*Assumptions!$H$69,0))</f>
        <v>14709.119999999999</v>
      </c>
      <c r="H10" s="74">
        <f>IF(H6&lt;Assumptions!$H$19,12*'Price_Technical Assumption'!I21*Assumptions!$H$69,IF(AND(G6&lt;Assumptions!$H$19,H6&gt;Assumptions!$H$19),(1-$C$6)*12*'Price_Technical Assumption'!I21*Assumptions!$H$69,0))</f>
        <v>14709.119999999999</v>
      </c>
      <c r="I10" s="74">
        <f>IF(I6&lt;Assumptions!$H$19,12*'Price_Technical Assumption'!J21*Assumptions!$H$69,IF(AND(H6&lt;Assumptions!$H$19,I6&gt;Assumptions!$H$19),(1-$C$6)*12*'Price_Technical Assumption'!J21*Assumptions!$H$69,0))</f>
        <v>14709.119999999999</v>
      </c>
      <c r="J10" s="74">
        <f>IF(J6&lt;Assumptions!$H$19,12*'Price_Technical Assumption'!K21*Assumptions!$H$69,IF(AND(I6&lt;Assumptions!$H$19,J6&gt;Assumptions!$H$19),(1-$C$6)*12*'Price_Technical Assumption'!K21*Assumptions!$H$69,0))</f>
        <v>14709.119999999999</v>
      </c>
      <c r="K10" s="74">
        <f>IF(K6&lt;Assumptions!$H$19,12*'Price_Technical Assumption'!L21*Assumptions!$H$69,IF(AND(J6&lt;Assumptions!$H$19,K6&gt;Assumptions!$H$19),(1-$C$6)*12*'Price_Technical Assumption'!L21*Assumptions!$H$69,0))</f>
        <v>14709.119999999999</v>
      </c>
      <c r="L10" s="74">
        <f>IF(L6&lt;Assumptions!$H$19,12*'Price_Technical Assumption'!M21*Assumptions!$H$69,IF(AND(K6&lt;Assumptions!$H$19,L6&gt;Assumptions!$H$19),(1-$C$6)*12*'Price_Technical Assumption'!M21*Assumptions!$H$69,0))</f>
        <v>14709.119999999999</v>
      </c>
      <c r="M10" s="74">
        <f>IF(M6&lt;Assumptions!$H$19,12*'Price_Technical Assumption'!N21*Assumptions!$H$69,IF(AND(L6&lt;Assumptions!$H$19,M6&gt;Assumptions!$H$19),(1-$C$6)*12*'Price_Technical Assumption'!N21*Assumptions!$H$69,0))</f>
        <v>14709.119999999999</v>
      </c>
      <c r="N10" s="74">
        <f>IF(N6&lt;Assumptions!$H$19,12*'Price_Technical Assumption'!O21*Assumptions!$H$69,IF(AND(M6&lt;Assumptions!$H$19,N6&gt;Assumptions!$H$19),(1-$C$6)*12*'Price_Technical Assumption'!O21*Assumptions!$H$69,0))</f>
        <v>14709.119999999999</v>
      </c>
      <c r="O10" s="74">
        <f>IF(O6&lt;Assumptions!$H$19,12*'Price_Technical Assumption'!P21*Assumptions!$H$69,IF(AND(N6&lt;Assumptions!$H$19,O6&gt;Assumptions!$H$19),(1-$C$6)*12*'Price_Technical Assumption'!P21*Assumptions!$H$69,0))</f>
        <v>14709.119999999999</v>
      </c>
      <c r="P10" s="74">
        <f>IF(P6&lt;Assumptions!$H$19,12*'Price_Technical Assumption'!Q21*Assumptions!$H$69,IF(AND(O6&lt;Assumptions!$H$19,P6&gt;Assumptions!$H$19),(1-$C$6)*12*'Price_Technical Assumption'!Q21*Assumptions!$H$69,0))</f>
        <v>14709.119999999999</v>
      </c>
      <c r="Q10" s="74">
        <f>IF(Q6&lt;Assumptions!$H$19,12*'Price_Technical Assumption'!R21*Assumptions!$H$69,IF(AND(P6&lt;Assumptions!$H$19,Q6&gt;Assumptions!$H$19),(1-$C$6)*12*'Price_Technical Assumption'!R21*Assumptions!$H$69,0))</f>
        <v>14709.119999999999</v>
      </c>
      <c r="R10" s="74">
        <f>IF(R6&lt;Assumptions!$H$19,12*'Price_Technical Assumption'!S21*Assumptions!$H$69,IF(AND(Q6&lt;Assumptions!$H$19,R6&gt;Assumptions!$H$19),(1-$C$6)*12*'Price_Technical Assumption'!S21*Assumptions!$H$69,0))</f>
        <v>14709.119999999999</v>
      </c>
      <c r="S10" s="74">
        <f>IF(S6&lt;Assumptions!$H$19,12*'Price_Technical Assumption'!T21*Assumptions!$H$69,IF(AND(R6&lt;Assumptions!$H$19,S6&gt;Assumptions!$H$19),(1-$C$6)*12*'Price_Technical Assumption'!T21*Assumptions!$H$69,0))</f>
        <v>14709.119999999999</v>
      </c>
      <c r="T10" s="74">
        <f>IF(T6&lt;Assumptions!$H$19,12*'Price_Technical Assumption'!U21*Assumptions!$H$69,IF(AND(S6&lt;Assumptions!$H$19,T6&gt;Assumptions!$H$19),(1-$C$6)*12*'Price_Technical Assumption'!U21*Assumptions!$H$69,0))</f>
        <v>14709.119999999999</v>
      </c>
      <c r="U10" s="74">
        <f>IF(U6&lt;Assumptions!$H$19,12*'Price_Technical Assumption'!V21*Assumptions!$H$69,IF(AND(T6&lt;Assumptions!$H$19,U6&gt;Assumptions!$H$19),(1-$C$6)*12*'Price_Technical Assumption'!V21*Assumptions!$H$69,0))</f>
        <v>14709.119999999999</v>
      </c>
      <c r="V10" s="74">
        <f>IF(V6&lt;Assumptions!$H$19,12*'Price_Technical Assumption'!W21*Assumptions!$H$69,IF(AND(U6&lt;Assumptions!$H$19,V6&gt;Assumptions!$H$19),(1-$C$6)*12*'Price_Technical Assumption'!W21*Assumptions!$H$69,0))</f>
        <v>14709.119999999999</v>
      </c>
      <c r="W10" s="74">
        <f>IF(W6&lt;Assumptions!$H$19,12*'Price_Technical Assumption'!X21*Assumptions!$H$69,IF(AND(V6&lt;Assumptions!$H$19,W6&gt;Assumptions!$H$19),(1-$C$6)*12*'Price_Technical Assumption'!X21*Assumptions!$H$69,0))</f>
        <v>5209.4194346986042</v>
      </c>
      <c r="X10" s="74">
        <f>IF(X6&lt;Assumptions!$H$19,12*'Price_Technical Assumption'!Y21*Assumptions!$H$69,IF(AND(W6&lt;Assumptions!$H$19,X6&gt;Assumptions!$H$19),(1-$C$6)*12*'Price_Technical Assumption'!Y21*Assumptions!$H$69,0))</f>
        <v>0</v>
      </c>
      <c r="Y10" s="74">
        <f>IF(Y6&lt;Assumptions!$H$19,12*'Price_Technical Assumption'!Z21*Assumptions!$H$69,IF(AND(X6&lt;Assumptions!$H$19,Y6&gt;Assumptions!$H$19),(1-$C$6)*12*'Price_Technical Assumption'!Z21*Assumptions!$H$69,0))</f>
        <v>0</v>
      </c>
      <c r="Z10" s="74">
        <f>IF(Z6&lt;Assumptions!$H$19,12*'Price_Technical Assumption'!AA21*Assumptions!$H$69,IF(AND(Y6&lt;Assumptions!$H$19,Z6&gt;Assumptions!$H$19),(1-$C$6)*12*'Price_Technical Assumption'!AA21*Assumptions!$H$69,0))</f>
        <v>0</v>
      </c>
      <c r="AA10" s="74">
        <f>IF(AA6&lt;Assumptions!$H$19,12*'Price_Technical Assumption'!AB21*Assumptions!$H$69,IF(AND(Z6&lt;Assumptions!$H$19,AA6&gt;Assumptions!$H$19),(1-$C$6)*12*'Price_Technical Assumption'!AB21*Assumptions!$H$69,0))</f>
        <v>0</v>
      </c>
      <c r="AB10" s="74">
        <f>IF(AB6&lt;Assumptions!$H$19,12*'Price_Technical Assumption'!AC21*Assumptions!$H$69,IF(AND(AA6&lt;Assumptions!$H$19,AB6&gt;Assumptions!$H$19),(1-$C$6)*12*'Price_Technical Assumption'!AC21*Assumptions!$H$69,0))</f>
        <v>0</v>
      </c>
      <c r="AC10" s="74">
        <f>IF(AC6&lt;Assumptions!$H$19,12*'Price_Technical Assumption'!AD21*Assumptions!$H$69,IF(AND(AB6&lt;Assumptions!$H$19,AC6&gt;Assumptions!$H$19),(1-$C$6)*12*'Price_Technical Assumption'!AD21*Assumptions!$H$69,0))</f>
        <v>0</v>
      </c>
      <c r="AD10" s="74">
        <f>IF(AD6&lt;Assumptions!$H$19,12*'Price_Technical Assumption'!AE21*Assumptions!$H$69,IF(AND(AC6&lt;Assumptions!$H$19,AD6&gt;Assumptions!$H$19),(1-$C$6)*12*'Price_Technical Assumption'!AE21*Assumptions!$H$69,0))</f>
        <v>0</v>
      </c>
      <c r="AE10" s="74">
        <f>IF(AE6&lt;Assumptions!$H$19,12*'Price_Technical Assumption'!AF21*Assumptions!$H$69,IF(AND(AD6&lt;Assumptions!$H$19,AE6&gt;Assumptions!$H$19),(1-$C$6)*12*'Price_Technical Assumption'!AF21*Assumptions!$H$69,0))</f>
        <v>0</v>
      </c>
      <c r="AF10" s="74">
        <f>IF(AF6&lt;Assumptions!$H$19,12*'Price_Technical Assumption'!AG21*Assumptions!$H$69,IF(AND(AE6&lt;Assumptions!$H$19,AF6&gt;Assumptions!$H$19),(1-$C$6)*12*'Price_Technical Assumption'!AG21*Assumptions!$H$69,0))</f>
        <v>0</v>
      </c>
      <c r="AG10" s="74">
        <f>IF(AG6&lt;Assumptions!$H$19,12*'Price_Technical Assumption'!AH21*Assumptions!$H$69,IF(AND(AF6&lt;Assumptions!$H$19,AG6&gt;Assumptions!$H$19),(1-$C$6)*12*'Price_Technical Assumption'!AH21*Assumptions!$H$69,0))</f>
        <v>0</v>
      </c>
    </row>
    <row r="11" spans="1:33">
      <c r="A11" s="3" t="s">
        <v>120</v>
      </c>
      <c r="C11" s="74">
        <f>'Price_Technical Assumption'!D38*Assumptions!$H$62/1000</f>
        <v>16687.384712238589</v>
      </c>
      <c r="D11" s="74">
        <f>'Price_Technical Assumption'!E38*Assumptions!$H$62/1000</f>
        <v>16627.452549796879</v>
      </c>
      <c r="E11" s="74">
        <f>'Price_Technical Assumption'!F38*Assumptions!$H$62/1000</f>
        <v>16817.895106214281</v>
      </c>
      <c r="F11" s="74">
        <f>'Price_Technical Assumption'!G38*Assumptions!$H$62/1000</f>
        <v>17093.488805614339</v>
      </c>
      <c r="G11" s="74">
        <f>'Price_Technical Assumption'!H38*Assumptions!$H$62/1000</f>
        <v>17419.247017573893</v>
      </c>
      <c r="H11" s="74">
        <f>'Price_Technical Assumption'!I38*Assumptions!$H$62/1000</f>
        <v>17764.48424986473</v>
      </c>
      <c r="I11" s="74">
        <f>'Price_Technical Assumption'!J38*Assumptions!$H$62/1000</f>
        <v>18121.041035573049</v>
      </c>
      <c r="J11" s="74">
        <f>'Price_Technical Assumption'!K38*Assumptions!$H$62/1000</f>
        <v>18503.28396060762</v>
      </c>
      <c r="K11" s="74">
        <f>'Price_Technical Assumption'!L38*Assumptions!$H$62/1000</f>
        <v>18911.246423783221</v>
      </c>
      <c r="L11" s="74">
        <f>'Price_Technical Assumption'!M38*Assumptions!$H$62/1000</f>
        <v>19344.962825879091</v>
      </c>
      <c r="M11" s="74">
        <f>'Price_Technical Assumption'!N38*Assumptions!$H$62/1000</f>
        <v>19804.468599697837</v>
      </c>
      <c r="N11" s="74">
        <f>'Price_Technical Assumption'!O38*Assumptions!$H$62/1000</f>
        <v>20231.439732963652</v>
      </c>
      <c r="O11" s="74">
        <f>'Price_Technical Assumption'!P38*Assumptions!$H$62/1000</f>
        <v>20617.722867836808</v>
      </c>
      <c r="P11" s="74">
        <f>'Price_Technical Assumption'!Q38*Assumptions!$H$62/1000</f>
        <v>21338.092616572416</v>
      </c>
      <c r="Q11" s="74">
        <f>'Price_Technical Assumption'!R38*Assumptions!$H$62/1000</f>
        <v>21901.131949101957</v>
      </c>
      <c r="R11" s="74">
        <f>'Price_Technical Assumption'!S38*Assumptions!$H$62/1000</f>
        <v>22490.15441444239</v>
      </c>
      <c r="S11" s="74">
        <f>'Price_Technical Assumption'!T38*Assumptions!$H$62/1000</f>
        <v>23105.202321213041</v>
      </c>
      <c r="T11" s="74">
        <f>'Price_Technical Assumption'!U38*Assumptions!$H$62/1000</f>
        <v>23746.319247291805</v>
      </c>
      <c r="U11" s="74">
        <f>'Price_Technical Assumption'!V38*Assumptions!$H$62/1000</f>
        <v>24413.550077892938</v>
      </c>
      <c r="V11" s="74">
        <f>'Price_Technical Assumption'!W38*Assumptions!$H$62/1000</f>
        <v>25106.941044787105</v>
      </c>
      <c r="W11" s="74">
        <f>'Price_Technical Assumption'!X38*Assumptions!$H$62/1000</f>
        <v>25826.539766698086</v>
      </c>
      <c r="X11" s="74">
        <f>'Price_Technical Assumption'!Y38*Assumptions!$H$62/1000</f>
        <v>12797.062877323908</v>
      </c>
      <c r="Y11" s="74">
        <f>'Price_Technical Assumption'!Z38*Assumptions!$H$62/1000</f>
        <v>12856.613203043626</v>
      </c>
      <c r="Z11" s="74">
        <f>'Price_Technical Assumption'!AA38*Assumptions!$H$62/1000</f>
        <v>12917.950038534933</v>
      </c>
      <c r="AA11" s="74">
        <f>'Price_Technical Assumption'!AB38*Assumptions!$H$62/1000</f>
        <v>12981.126979090981</v>
      </c>
      <c r="AB11" s="74">
        <f>'Price_Technical Assumption'!AC38*Assumptions!$H$62/1000</f>
        <v>13046.19922786371</v>
      </c>
      <c r="AC11" s="74">
        <f>'Price_Technical Assumption'!AD38*Assumptions!$H$62/1000</f>
        <v>13113.223644099622</v>
      </c>
      <c r="AD11" s="74">
        <f>'Price_Technical Assumption'!AE38*Assumptions!$H$62/1000</f>
        <v>13182.258792822611</v>
      </c>
      <c r="AE11" s="74">
        <f>'Price_Technical Assumption'!AF38*Assumptions!$H$62/1000</f>
        <v>13253.364996007289</v>
      </c>
      <c r="AF11" s="74">
        <f>'Price_Technical Assumption'!AG38*Assumptions!$H$62/1000</f>
        <v>13326.604385287508</v>
      </c>
      <c r="AG11" s="74">
        <f>'Price_Technical Assumption'!AH38*Assumptions!$H$62/1000</f>
        <v>13402.040956246132</v>
      </c>
    </row>
    <row r="12" spans="1:33">
      <c r="A12" s="206" t="s">
        <v>121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1" t="s">
        <v>41</v>
      </c>
      <c r="C13" s="65">
        <f t="shared" ref="C13:AG13" si="0">SUM(C10:C12)</f>
        <v>26493.464712238587</v>
      </c>
      <c r="D13" s="65">
        <f t="shared" si="0"/>
        <v>31336.572549796878</v>
      </c>
      <c r="E13" s="65">
        <f t="shared" si="0"/>
        <v>31527.01510621428</v>
      </c>
      <c r="F13" s="65">
        <f t="shared" si="0"/>
        <v>31802.608805614338</v>
      </c>
      <c r="G13" s="65">
        <f t="shared" si="0"/>
        <v>32128.367017573892</v>
      </c>
      <c r="H13" s="65">
        <f t="shared" si="0"/>
        <v>32473.604249864729</v>
      </c>
      <c r="I13" s="65">
        <f t="shared" si="0"/>
        <v>32830.161035573052</v>
      </c>
      <c r="J13" s="65">
        <f t="shared" si="0"/>
        <v>33212.403960607619</v>
      </c>
      <c r="K13" s="65">
        <f t="shared" si="0"/>
        <v>33620.36642378322</v>
      </c>
      <c r="L13" s="65">
        <f t="shared" si="0"/>
        <v>34054.082825879086</v>
      </c>
      <c r="M13" s="65">
        <f t="shared" si="0"/>
        <v>34513.588599697832</v>
      </c>
      <c r="N13" s="65">
        <f t="shared" si="0"/>
        <v>34940.559732963651</v>
      </c>
      <c r="O13" s="65">
        <f t="shared" si="0"/>
        <v>35326.842867836807</v>
      </c>
      <c r="P13" s="65">
        <f t="shared" si="0"/>
        <v>36047.212616572418</v>
      </c>
      <c r="Q13" s="65">
        <f t="shared" si="0"/>
        <v>36610.251949101956</v>
      </c>
      <c r="R13" s="65">
        <f t="shared" si="0"/>
        <v>37199.274414442392</v>
      </c>
      <c r="S13" s="65">
        <f t="shared" si="0"/>
        <v>37814.32232121304</v>
      </c>
      <c r="T13" s="65">
        <f t="shared" si="0"/>
        <v>38455.439247291804</v>
      </c>
      <c r="U13" s="65">
        <f t="shared" si="0"/>
        <v>39122.670077892937</v>
      </c>
      <c r="V13" s="65">
        <f t="shared" si="0"/>
        <v>39816.0610447871</v>
      </c>
      <c r="W13" s="65">
        <f t="shared" si="0"/>
        <v>31035.95920139669</v>
      </c>
      <c r="X13" s="65">
        <f t="shared" si="0"/>
        <v>12797.062877323908</v>
      </c>
      <c r="Y13" s="65">
        <f t="shared" si="0"/>
        <v>12856.613203043626</v>
      </c>
      <c r="Z13" s="65">
        <f t="shared" si="0"/>
        <v>12917.950038534933</v>
      </c>
      <c r="AA13" s="65">
        <f t="shared" si="0"/>
        <v>12981.126979090981</v>
      </c>
      <c r="AB13" s="65">
        <f t="shared" si="0"/>
        <v>13046.19922786371</v>
      </c>
      <c r="AC13" s="65">
        <f t="shared" si="0"/>
        <v>13113.223644099622</v>
      </c>
      <c r="AD13" s="65">
        <f t="shared" si="0"/>
        <v>13182.258792822611</v>
      </c>
      <c r="AE13" s="65">
        <f t="shared" si="0"/>
        <v>13253.364996007289</v>
      </c>
      <c r="AF13" s="65">
        <f t="shared" si="0"/>
        <v>13326.604385287508</v>
      </c>
      <c r="AG13" s="65">
        <f t="shared" si="0"/>
        <v>13402.040956246132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6">
        <f>Assumptions!$H$62*'Price_Technical Assumption'!D30*'Price_Technical Assumption'!D44/1000000</f>
        <v>15620.343563212498</v>
      </c>
      <c r="D16" s="216">
        <f>Assumptions!$H$62*'Price_Technical Assumption'!E30*'Price_Technical Assumption'!E44/1000000</f>
        <v>15528.400166300002</v>
      </c>
      <c r="E16" s="216">
        <f>Assumptions!$H$62*'Price_Technical Assumption'!F30*'Price_Technical Assumption'!F44/1000000</f>
        <v>15685.871151212497</v>
      </c>
      <c r="F16" s="216">
        <f>Assumptions!$H$62*'Price_Technical Assumption'!G30*'Price_Technical Assumption'!G44/1000000</f>
        <v>15927.5041319625</v>
      </c>
      <c r="G16" s="216">
        <f>Assumptions!$H$62*'Price_Technical Assumption'!H30*'Price_Technical Assumption'!H44/1000000</f>
        <v>16218.282803712502</v>
      </c>
      <c r="H16" s="216">
        <f>Assumptions!$H$62*'Price_Technical Assumption'!I30*'Price_Technical Assumption'!I44/1000000</f>
        <v>16527.4911095875</v>
      </c>
      <c r="I16" s="216">
        <f>Assumptions!$H$62*'Price_Technical Assumption'!J30*'Price_Technical Assumption'!J44/1000000</f>
        <v>16846.938101087504</v>
      </c>
      <c r="J16" s="216">
        <f>Assumptions!$H$62*'Price_Technical Assumption'!K30*'Price_Technical Assumption'!K44/1000000</f>
        <v>17190.9579380875</v>
      </c>
      <c r="K16" s="216">
        <f>Assumptions!$H$62*'Price_Technical Assumption'!L30*'Price_Technical Assumption'!L44/1000000</f>
        <v>17559.550620587503</v>
      </c>
      <c r="L16" s="216">
        <f>Assumptions!$H$62*'Price_Technical Assumption'!M30*'Price_Technical Assumption'!M44/1000000</f>
        <v>17952.716148587493</v>
      </c>
      <c r="M16" s="216">
        <f>Assumptions!$H$62*'Price_Technical Assumption'!N30*'Price_Technical Assumption'!N44/1000000</f>
        <v>18370.454522087497</v>
      </c>
      <c r="N16" s="216">
        <f>Assumptions!$H$62*'Price_Technical Assumption'!O30*'Price_Technical Assumption'!O44/1000000</f>
        <v>18754.405233025002</v>
      </c>
      <c r="O16" s="216">
        <f>Assumptions!$H$62*'Price_Technical Assumption'!P30*'Price_Technical Assumption'!P44/1000000</f>
        <v>19096.377332899996</v>
      </c>
      <c r="P16" s="216">
        <f>Assumptions!$H$62*'Price_Technical Assumption'!Q30*'Price_Technical Assumption'!Q44/1000000</f>
        <v>19771.106715587503</v>
      </c>
      <c r="Q16" s="216">
        <f>Assumptions!$H$62*'Price_Technical Assumption'!R30*'Price_Technical Assumption'!R44/1000000</f>
        <v>20287.136471087495</v>
      </c>
      <c r="R16" s="216">
        <f>Assumptions!$H$62*'Price_Technical Assumption'!S30*'Price_Technical Assumption'!S44/1000000</f>
        <v>20827.739072087494</v>
      </c>
      <c r="S16" s="216">
        <f>Assumptions!$H$62*'Price_Technical Assumption'!T30*'Price_Technical Assumption'!T44/1000000</f>
        <v>21392.914518587502</v>
      </c>
      <c r="T16" s="216">
        <f>Assumptions!$H$62*'Price_Technical Assumption'!U30*'Price_Technical Assumption'!U44/1000000</f>
        <v>21982.662810587502</v>
      </c>
      <c r="U16" s="216">
        <f>Assumptions!$H$62*'Price_Technical Assumption'!V30*'Price_Technical Assumption'!V44/1000000</f>
        <v>22596.983948087494</v>
      </c>
      <c r="V16" s="216">
        <f>Assumptions!$H$62*'Price_Technical Assumption'!W30*'Price_Technical Assumption'!W44/1000000</f>
        <v>23235.8779310875</v>
      </c>
      <c r="W16" s="216">
        <f>Assumptions!$H$62*'Price_Technical Assumption'!X30*'Price_Technical Assumption'!X44/1000000</f>
        <v>23899.344759587493</v>
      </c>
      <c r="X16" s="216">
        <f>Assumptions!$H$62*'Price_Technical Assumption'!Y30*'Price_Technical Assumption'!Y44/1000000</f>
        <v>10812.052019999999</v>
      </c>
      <c r="Y16" s="216">
        <f>Assumptions!$H$62*'Price_Technical Assumption'!Z30*'Price_Technical Assumption'!Z44/1000000</f>
        <v>10812.052019999999</v>
      </c>
      <c r="Z16" s="216">
        <f>Assumptions!$H$62*'Price_Technical Assumption'!AA30*'Price_Technical Assumption'!AA44/1000000</f>
        <v>10812.052019999999</v>
      </c>
      <c r="AA16" s="216">
        <f>Assumptions!$H$62*'Price_Technical Assumption'!AB30*'Price_Technical Assumption'!AB44/1000000</f>
        <v>10812.052019999999</v>
      </c>
      <c r="AB16" s="216">
        <f>Assumptions!$H$62*'Price_Technical Assumption'!AC30*'Price_Technical Assumption'!AC44/1000000</f>
        <v>10812.052019999999</v>
      </c>
      <c r="AC16" s="216">
        <f>Assumptions!$H$62*'Price_Technical Assumption'!AD30*'Price_Technical Assumption'!AD44/1000000</f>
        <v>10812.052019999999</v>
      </c>
      <c r="AD16" s="216">
        <f>Assumptions!$H$62*'Price_Technical Assumption'!AE30*'Price_Technical Assumption'!AE44/1000000</f>
        <v>10812.052019999999</v>
      </c>
      <c r="AE16" s="216">
        <f>Assumptions!$H$62*'Price_Technical Assumption'!AF30*'Price_Technical Assumption'!AF44/1000000</f>
        <v>10812.052019999999</v>
      </c>
      <c r="AF16" s="216">
        <f>Assumptions!$H$62*'Price_Technical Assumption'!AG30*'Price_Technical Assumption'!AG44/1000000</f>
        <v>10812.052019999999</v>
      </c>
      <c r="AG16" s="216">
        <f>Assumptions!$H$62*'Price_Technical Assumption'!AH30*'Price_Technical Assumption'!AH44/1000000</f>
        <v>10812.052019999999</v>
      </c>
    </row>
    <row r="17" spans="1:47">
      <c r="A17" s="3" t="s">
        <v>203</v>
      </c>
      <c r="C17" s="74">
        <f>Assumptions!$N19*C6</f>
        <v>150</v>
      </c>
      <c r="D17" s="74">
        <f>Assumptions!$N19*(1+Assumptions!$N$11)</f>
        <v>231.75</v>
      </c>
      <c r="E17" s="74">
        <f>D17*(1+Assumptions!$N$11)</f>
        <v>238.70250000000001</v>
      </c>
      <c r="F17" s="74">
        <f>E17*(1+Assumptions!$N$11)</f>
        <v>245.86357500000003</v>
      </c>
      <c r="G17" s="74">
        <f>F17*(1+Assumptions!$N$11)</f>
        <v>253.23948225000004</v>
      </c>
      <c r="H17" s="74">
        <f>G17*(1+Assumptions!$N$11)</f>
        <v>260.83666671750007</v>
      </c>
      <c r="I17" s="74">
        <f>H17*(1+Assumptions!$N$11)</f>
        <v>268.66176671902508</v>
      </c>
      <c r="J17" s="74">
        <f>I17*(1+Assumptions!$N$11)</f>
        <v>276.72161972059587</v>
      </c>
      <c r="K17" s="74">
        <f>J17*(1+Assumptions!$N$11)</f>
        <v>285.02326831221376</v>
      </c>
      <c r="L17" s="74">
        <f>K17*(1+Assumptions!$N$11)</f>
        <v>293.57396636158018</v>
      </c>
      <c r="M17" s="74">
        <f>L17*(1+Assumptions!$N$11)</f>
        <v>302.38118535242756</v>
      </c>
      <c r="N17" s="74">
        <f>M17*(1+Assumptions!$N$11)</f>
        <v>311.45262091300037</v>
      </c>
      <c r="O17" s="74">
        <f>N17*(1+Assumptions!$N$11)</f>
        <v>320.79619954039038</v>
      </c>
      <c r="P17" s="74">
        <f>O17*(1+Assumptions!$N$11)</f>
        <v>330.42008552660212</v>
      </c>
      <c r="Q17" s="74">
        <f>P17*(1+Assumptions!$N$11)</f>
        <v>340.33268809240019</v>
      </c>
      <c r="R17" s="74">
        <f>Q17*(1+Assumptions!$N$11)</f>
        <v>350.54266873517219</v>
      </c>
      <c r="S17" s="74">
        <f>R17*(1+Assumptions!$N$11)</f>
        <v>361.05894879722734</v>
      </c>
      <c r="T17" s="74">
        <f>S17*(1+Assumptions!$N$11)</f>
        <v>371.89071726114418</v>
      </c>
      <c r="U17" s="74">
        <f>T17*(1+Assumptions!$N$11)</f>
        <v>383.04743877897852</v>
      </c>
      <c r="V17" s="74">
        <f>U17*(1+Assumptions!$N$11)</f>
        <v>394.53886194234786</v>
      </c>
      <c r="W17" s="74">
        <f>V17*(1+Assumptions!$N$11)</f>
        <v>406.37502780061828</v>
      </c>
      <c r="X17" s="74">
        <f>W17*(1+Assumptions!$N$11)</f>
        <v>418.56627863463683</v>
      </c>
      <c r="Y17" s="74">
        <f>X17*(1+Assumptions!$N$11)</f>
        <v>431.12326699367594</v>
      </c>
      <c r="Z17" s="74">
        <f>Y17*(1+Assumptions!$N$11)</f>
        <v>444.05696500348625</v>
      </c>
      <c r="AA17" s="74">
        <f>Z17*(1+Assumptions!$N$11)</f>
        <v>457.37867395359086</v>
      </c>
      <c r="AB17" s="74">
        <f>AA17*(1+Assumptions!$N$11)</f>
        <v>471.1000341721986</v>
      </c>
      <c r="AC17" s="74">
        <f>AB17*(1+Assumptions!$N$11)</f>
        <v>485.23303519736459</v>
      </c>
      <c r="AD17" s="74">
        <f>AC17*(1+Assumptions!$N$11)</f>
        <v>499.79002625328553</v>
      </c>
      <c r="AE17" s="74">
        <f>AD17*(1+Assumptions!$N$11)</f>
        <v>514.78372704088406</v>
      </c>
      <c r="AF17" s="74">
        <f>AE17*(1+Assumptions!$N$11)</f>
        <v>530.22723885211064</v>
      </c>
      <c r="AG17" s="74">
        <f>AF17*(1+Assumptions!$N$11)</f>
        <v>546.13405601767397</v>
      </c>
    </row>
    <row r="18" spans="1:47">
      <c r="A18" s="3" t="s">
        <v>249</v>
      </c>
      <c r="C18" s="216">
        <f>+(Assumptions!$P$15*Assumptions!$H$62)/1000*(1+Assumptions!$N$11)^IS!C6</f>
        <v>278.98380446234796</v>
      </c>
      <c r="D18" s="74">
        <f>C18*(1+Assumptions!$N$11)</f>
        <v>287.3533185962184</v>
      </c>
      <c r="E18" s="74">
        <f>D18*(1+Assumptions!$N$11)</f>
        <v>295.97391815410498</v>
      </c>
      <c r="F18" s="74">
        <f>E18*(1+Assumptions!$N$11)</f>
        <v>304.85313569872812</v>
      </c>
      <c r="G18" s="74">
        <f>F18*(1+Assumptions!$N$11)</f>
        <v>313.99872976968999</v>
      </c>
      <c r="H18" s="74">
        <f>G18*(1+Assumptions!$N$11)</f>
        <v>323.4186916627807</v>
      </c>
      <c r="I18" s="74">
        <f>H18*(1+Assumptions!$N$11)</f>
        <v>333.12125241266415</v>
      </c>
      <c r="J18" s="74">
        <f>I18*(1+Assumptions!$N$11)</f>
        <v>343.1148899850441</v>
      </c>
      <c r="K18" s="74">
        <f>J18*(1+Assumptions!$N$11)</f>
        <v>353.40833668459544</v>
      </c>
      <c r="L18" s="74">
        <f>K18*(1+Assumptions!$N$11)</f>
        <v>364.01058678513328</v>
      </c>
      <c r="M18" s="74">
        <f>L18*(1+Assumptions!$N$11)</f>
        <v>374.93090438868728</v>
      </c>
      <c r="N18" s="74">
        <f>M18*(1+Assumptions!$N$11)</f>
        <v>386.1788315203479</v>
      </c>
      <c r="O18" s="74">
        <f>N18*(1+Assumptions!$N$11)</f>
        <v>397.76419646595832</v>
      </c>
      <c r="P18" s="74">
        <f>O18*(1+Assumptions!$N$11)</f>
        <v>409.69712235993705</v>
      </c>
      <c r="Q18" s="74">
        <f>P18*(1+Assumptions!$N$11)</f>
        <v>421.9880360307352</v>
      </c>
      <c r="R18" s="74">
        <f>Q18*(1+Assumptions!$N$11)</f>
        <v>434.64767711165729</v>
      </c>
      <c r="S18" s="74">
        <f>R18*(1+Assumptions!$N$11)</f>
        <v>447.68710742500701</v>
      </c>
      <c r="T18" s="74">
        <f>S18*(1+Assumptions!$N$11)</f>
        <v>461.11772064775721</v>
      </c>
      <c r="U18" s="74">
        <f>T18*(1+Assumptions!$N$11)</f>
        <v>474.95125226718994</v>
      </c>
      <c r="V18" s="74">
        <f>U18*(1+Assumptions!$N$11)</f>
        <v>489.19978983520565</v>
      </c>
      <c r="W18" s="74">
        <f>V18*(1+Assumptions!$N$11)</f>
        <v>503.87578353026186</v>
      </c>
      <c r="X18" s="74">
        <f>W18*(1+Assumptions!$N$11)</f>
        <v>518.99205703616974</v>
      </c>
      <c r="Y18" s="74">
        <f>X18*(1+Assumptions!$N$11)</f>
        <v>534.56181874725485</v>
      </c>
      <c r="Z18" s="74">
        <f>Y18*(1+Assumptions!$N$11)</f>
        <v>550.59867330967256</v>
      </c>
      <c r="AA18" s="74">
        <f>Z18*(1+Assumptions!$N$11)</f>
        <v>567.11663350896276</v>
      </c>
      <c r="AB18" s="74">
        <f>AA18*(1+Assumptions!$N$11)</f>
        <v>584.13013251423172</v>
      </c>
      <c r="AC18" s="74">
        <f>AB18*(1+Assumptions!$N$11)</f>
        <v>601.65403648965867</v>
      </c>
      <c r="AD18" s="74">
        <f>AC18*(1+Assumptions!$N$11)</f>
        <v>619.70365758434843</v>
      </c>
      <c r="AE18" s="74">
        <f>AD18*(1+Assumptions!$N$11)</f>
        <v>638.2947673118789</v>
      </c>
      <c r="AF18" s="74">
        <f>AE18*(1+Assumptions!$N$11)</f>
        <v>657.44361033123528</v>
      </c>
      <c r="AG18" s="74">
        <f>AF18*(1+Assumptions!$N$11)</f>
        <v>677.1669186411724</v>
      </c>
    </row>
    <row r="19" spans="1:47">
      <c r="A19" s="3" t="s">
        <v>250</v>
      </c>
      <c r="C19" s="74">
        <f>Assumptions!$P$16*Assumptions!$H$62/1000*(1+Assumptions!$N$11)^IS!C6</f>
        <v>788.0573445637458</v>
      </c>
      <c r="D19" s="74">
        <f>C19*(1+Assumptions!$N$11)</f>
        <v>811.69906490065819</v>
      </c>
      <c r="E19" s="74">
        <f>D19*(1+Assumptions!$N$11)</f>
        <v>836.05003684767792</v>
      </c>
      <c r="F19" s="74">
        <f>E19*(1+Assumptions!$N$11)</f>
        <v>861.13153795310825</v>
      </c>
      <c r="G19" s="74">
        <f>F19*(1+Assumptions!$N$11)</f>
        <v>886.96548409170157</v>
      </c>
      <c r="H19" s="74">
        <f>G19*(1+Assumptions!$N$11)</f>
        <v>913.57444861445265</v>
      </c>
      <c r="I19" s="74">
        <f>H19*(1+Assumptions!$N$11)</f>
        <v>940.9816820728862</v>
      </c>
      <c r="J19" s="74">
        <f>I19*(1+Assumptions!$N$11)</f>
        <v>969.21113253507281</v>
      </c>
      <c r="K19" s="74">
        <f>J19*(1+Assumptions!$N$11)</f>
        <v>998.28746651112499</v>
      </c>
      <c r="L19" s="74">
        <f>K19*(1+Assumptions!$N$11)</f>
        <v>1028.2360905064588</v>
      </c>
      <c r="M19" s="74">
        <f>L19*(1+Assumptions!$N$11)</f>
        <v>1059.0831732216527</v>
      </c>
      <c r="N19" s="74">
        <f>M19*(1+Assumptions!$N$11)</f>
        <v>1090.8556684183022</v>
      </c>
      <c r="O19" s="74">
        <f>N19*(1+Assumptions!$N$11)</f>
        <v>1123.5813384708513</v>
      </c>
      <c r="P19" s="74">
        <f>O19*(1+Assumptions!$N$11)</f>
        <v>1157.2887786249769</v>
      </c>
      <c r="Q19" s="74">
        <f>P19*(1+Assumptions!$N$11)</f>
        <v>1192.0074419837263</v>
      </c>
      <c r="R19" s="74">
        <f>Q19*(1+Assumptions!$N$11)</f>
        <v>1227.7676652432381</v>
      </c>
      <c r="S19" s="74">
        <f>R19*(1+Assumptions!$N$11)</f>
        <v>1264.6006952005353</v>
      </c>
      <c r="T19" s="74">
        <f>S19*(1+Assumptions!$N$11)</f>
        <v>1302.5387160565513</v>
      </c>
      <c r="U19" s="74">
        <f>T19*(1+Assumptions!$N$11)</f>
        <v>1341.6148775382478</v>
      </c>
      <c r="V19" s="74">
        <f>U19*(1+Assumptions!$N$11)</f>
        <v>1381.8633238643952</v>
      </c>
      <c r="W19" s="74">
        <f>V19*(1+Assumptions!$N$11)</f>
        <v>1423.3192235803272</v>
      </c>
      <c r="X19" s="74">
        <f>W19*(1+Assumptions!$N$11)</f>
        <v>1466.0188002877371</v>
      </c>
      <c r="Y19" s="74">
        <f>X19*(1+Assumptions!$N$11)</f>
        <v>1509.9993642963693</v>
      </c>
      <c r="Z19" s="74">
        <f>Y19*(1+Assumptions!$N$11)</f>
        <v>1555.2993452252604</v>
      </c>
      <c r="AA19" s="74">
        <f>Z19*(1+Assumptions!$N$11)</f>
        <v>1601.9583255820182</v>
      </c>
      <c r="AB19" s="74">
        <f>AA19*(1+Assumptions!$N$11)</f>
        <v>1650.0170753494788</v>
      </c>
      <c r="AC19" s="74">
        <f>AB19*(1+Assumptions!$N$11)</f>
        <v>1699.5175876099631</v>
      </c>
      <c r="AD19" s="74">
        <f>AC19*(1+Assumptions!$N$11)</f>
        <v>1750.5031152382621</v>
      </c>
      <c r="AE19" s="74">
        <f>AD19*(1+Assumptions!$N$11)</f>
        <v>1803.0182086954101</v>
      </c>
      <c r="AF19" s="74">
        <f>AE19*(1+Assumptions!$N$11)</f>
        <v>1857.1087549562724</v>
      </c>
      <c r="AG19" s="74">
        <f>AF19*(1+Assumptions!$N$11)</f>
        <v>1912.8220176049606</v>
      </c>
    </row>
    <row r="20" spans="1:47">
      <c r="A20" s="3" t="s">
        <v>35</v>
      </c>
      <c r="C20" s="74">
        <f>Assumptions!$N20*Assumptions!H18/12</f>
        <v>74.666666666666671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66.666666666666671</v>
      </c>
      <c r="D21" s="74">
        <f>(Assumptions!$N21)*(1+Assumptions!$N$11)</f>
        <v>103</v>
      </c>
      <c r="E21" s="74">
        <f>D21*(1+Assumptions!$N$11)</f>
        <v>106.09</v>
      </c>
      <c r="F21" s="74">
        <f>E21*(1+Assumptions!$N$11)</f>
        <v>109.2727</v>
      </c>
      <c r="G21" s="74">
        <f>F21*(1+Assumptions!$N$11)</f>
        <v>112.550881</v>
      </c>
      <c r="H21" s="74">
        <f>G21*(1+Assumptions!$N$11)</f>
        <v>115.92740743</v>
      </c>
      <c r="I21" s="74">
        <f>H21*(1+Assumptions!$N$11)</f>
        <v>119.4052296529</v>
      </c>
      <c r="J21" s="74">
        <f>I21*(1+Assumptions!$N$11)</f>
        <v>122.987386542487</v>
      </c>
      <c r="K21" s="74">
        <f>J21*(1+Assumptions!$N$11)</f>
        <v>126.67700813876162</v>
      </c>
      <c r="L21" s="74">
        <f>K21*(1+Assumptions!$N$11)</f>
        <v>130.47731838292447</v>
      </c>
      <c r="M21" s="74">
        <f>L21*(1+Assumptions!$N$11)</f>
        <v>134.39163793441222</v>
      </c>
      <c r="N21" s="74">
        <f>M21*(1+Assumptions!$N$11)</f>
        <v>138.4233870724446</v>
      </c>
      <c r="O21" s="74">
        <f>N21*(1+Assumptions!$N$11)</f>
        <v>142.57608868461793</v>
      </c>
      <c r="P21" s="74">
        <f>O21*(1+Assumptions!$N$11)</f>
        <v>146.85337134515646</v>
      </c>
      <c r="Q21" s="74">
        <f>P21*(1+Assumptions!$N$11)</f>
        <v>151.25897248551115</v>
      </c>
      <c r="R21" s="74">
        <f>Q21*(1+Assumptions!$N$11)</f>
        <v>155.79674166007649</v>
      </c>
      <c r="S21" s="74">
        <f>R21*(1+Assumptions!$N$11)</f>
        <v>160.47064390987879</v>
      </c>
      <c r="T21" s="74">
        <f>S21*(1+Assumptions!$N$11)</f>
        <v>165.28476322717515</v>
      </c>
      <c r="U21" s="74">
        <f>T21*(1+Assumptions!$N$11)</f>
        <v>170.24330612399041</v>
      </c>
      <c r="V21" s="74">
        <f>U21*(1+Assumptions!$N$11)</f>
        <v>175.35060530771011</v>
      </c>
      <c r="W21" s="74">
        <f>V21*(1+Assumptions!$N$11)</f>
        <v>180.61112346694142</v>
      </c>
      <c r="X21" s="74">
        <f>W21*(1+Assumptions!$N$11)</f>
        <v>186.02945717094966</v>
      </c>
      <c r="Y21" s="74">
        <f>X21*(1+Assumptions!$N$11)</f>
        <v>191.61034088607815</v>
      </c>
      <c r="Z21" s="74">
        <f>Y21*(1+Assumptions!$N$11)</f>
        <v>197.35865111266051</v>
      </c>
      <c r="AA21" s="74">
        <f>Z21*(1+Assumptions!$N$11)</f>
        <v>203.27941064604033</v>
      </c>
      <c r="AB21" s="74">
        <f>AA21*(1+Assumptions!$N$11)</f>
        <v>209.37779296542155</v>
      </c>
      <c r="AC21" s="74">
        <f>AB21*(1+Assumptions!$N$11)</f>
        <v>215.6591267543842</v>
      </c>
      <c r="AD21" s="74">
        <f>AC21*(1+Assumptions!$N$11)</f>
        <v>222.12890055701573</v>
      </c>
      <c r="AE21" s="74">
        <f>AD21*(1+Assumptions!$N$11)</f>
        <v>228.79276757372619</v>
      </c>
      <c r="AF21" s="74">
        <f>AE21*(1+Assumptions!$N$11)</f>
        <v>235.65655060093798</v>
      </c>
      <c r="AG21" s="74">
        <f>AF21*(1+Assumptions!$N$11)</f>
        <v>242.72624711896611</v>
      </c>
    </row>
    <row r="22" spans="1:47">
      <c r="A22" s="3" t="s">
        <v>352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215</v>
      </c>
      <c r="C23" s="529">
        <v>400</v>
      </c>
      <c r="D23" s="191">
        <f>C23*(1+Assumptions!$P$30)</f>
        <v>408</v>
      </c>
      <c r="E23" s="191">
        <f>D23*(1+Assumptions!$P$30)</f>
        <v>416.16</v>
      </c>
      <c r="F23" s="191">
        <f>E23*(1+Assumptions!$P$30)</f>
        <v>424.48320000000001</v>
      </c>
      <c r="G23" s="191">
        <f>F23*(1+Assumptions!$P$30)</f>
        <v>432.97286400000002</v>
      </c>
      <c r="H23" s="191">
        <f>G23*(1+Assumptions!$P$30)</f>
        <v>441.63232128000004</v>
      </c>
      <c r="I23" s="191">
        <f>H23*(1+Assumptions!$P$30)</f>
        <v>450.46496770560003</v>
      </c>
      <c r="J23" s="191">
        <f>I23*(1+Assumptions!$P$30)</f>
        <v>459.47426705971202</v>
      </c>
      <c r="K23" s="191">
        <f>J23*(1+Assumptions!$P$30)</f>
        <v>468.66375240090628</v>
      </c>
      <c r="L23" s="191">
        <f>K23*(1+Assumptions!$P$30)</f>
        <v>478.03702744892439</v>
      </c>
      <c r="M23" s="191">
        <f>L23*(1+Assumptions!$P$30)</f>
        <v>487.59776799790291</v>
      </c>
      <c r="N23" s="191">
        <f>M23*(1+Assumptions!$P$30)</f>
        <v>497.34972335786097</v>
      </c>
      <c r="O23" s="191">
        <f>N23*(1+Assumptions!$P$30)</f>
        <v>507.29671782501822</v>
      </c>
      <c r="P23" s="191">
        <f>O23*(1+Assumptions!$P$30)</f>
        <v>517.44265218151861</v>
      </c>
      <c r="Q23" s="191">
        <f>P23*(1+Assumptions!$P$30)</f>
        <v>527.79150522514897</v>
      </c>
      <c r="R23" s="191">
        <f>Q23*(1+Assumptions!$P$30)</f>
        <v>538.34733532965197</v>
      </c>
      <c r="S23" s="191">
        <f>R23*(1+Assumptions!$P$30)</f>
        <v>549.11428203624507</v>
      </c>
      <c r="T23" s="191">
        <f>S23*(1+Assumptions!$P$30)</f>
        <v>560.09656767697004</v>
      </c>
      <c r="U23" s="191">
        <f>T23*(1+Assumptions!$P$30)</f>
        <v>571.29849903050945</v>
      </c>
      <c r="V23" s="191">
        <f>U23*(1+Assumptions!$P$30)</f>
        <v>582.7244690111196</v>
      </c>
      <c r="W23" s="191">
        <f>V23*(1+Assumptions!$P$30)</f>
        <v>594.37895839134205</v>
      </c>
      <c r="X23" s="191">
        <f>W23*(1+Assumptions!$P$30)</f>
        <v>606.26653755916891</v>
      </c>
      <c r="Y23" s="191">
        <f>X23*(1+Assumptions!$P$30)</f>
        <v>618.39186831035227</v>
      </c>
      <c r="Z23" s="191">
        <f>Y23*(1+Assumptions!$P$30)</f>
        <v>630.75970567655929</v>
      </c>
      <c r="AA23" s="191">
        <f>Z23*(1+Assumptions!$P$30)</f>
        <v>643.37489979009047</v>
      </c>
      <c r="AB23" s="191">
        <f>AA23*(1+Assumptions!$P$30)</f>
        <v>656.24239778589231</v>
      </c>
      <c r="AC23" s="191">
        <f>AB23*(1+Assumptions!$P$30)</f>
        <v>669.36724574161019</v>
      </c>
      <c r="AD23" s="191">
        <f>AC23*(1+Assumptions!$P$30)</f>
        <v>682.75459065644236</v>
      </c>
      <c r="AE23" s="191">
        <f>AD23*(1+Assumptions!$P$30)</f>
        <v>696.40968246957118</v>
      </c>
      <c r="AF23" s="191">
        <f>AE23*(1+Assumptions!$P$30)</f>
        <v>710.33787611896264</v>
      </c>
      <c r="AG23" s="191">
        <f>AF23*(1+Assumptions!$P$30)</f>
        <v>724.54463364134187</v>
      </c>
    </row>
    <row r="24" spans="1:47">
      <c r="A24" s="5" t="s">
        <v>205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209</v>
      </c>
      <c r="C25" s="191">
        <v>0</v>
      </c>
      <c r="D25" s="191">
        <v>0</v>
      </c>
      <c r="E25" s="191">
        <v>0</v>
      </c>
      <c r="F25" s="191">
        <v>0</v>
      </c>
      <c r="G25" s="191">
        <v>0</v>
      </c>
      <c r="H25" s="191">
        <v>0</v>
      </c>
      <c r="I25" s="191">
        <v>0</v>
      </c>
      <c r="J25" s="191">
        <v>0</v>
      </c>
      <c r="K25" s="191">
        <v>0</v>
      </c>
      <c r="L25" s="191">
        <v>0</v>
      </c>
      <c r="M25" s="191">
        <v>0</v>
      </c>
      <c r="N25" s="191">
        <v>0</v>
      </c>
      <c r="O25" s="191">
        <v>0</v>
      </c>
      <c r="P25" s="191">
        <v>0</v>
      </c>
      <c r="Q25" s="191">
        <v>0</v>
      </c>
      <c r="R25" s="191">
        <v>0</v>
      </c>
      <c r="S25" s="191">
        <v>0</v>
      </c>
      <c r="T25" s="191">
        <v>0</v>
      </c>
      <c r="U25" s="191">
        <v>0</v>
      </c>
      <c r="V25" s="191">
        <v>0</v>
      </c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191">
        <v>0</v>
      </c>
      <c r="AD25" s="191">
        <v>0</v>
      </c>
      <c r="AE25" s="191">
        <v>0</v>
      </c>
      <c r="AF25" s="191">
        <v>0</v>
      </c>
      <c r="AG25" s="191">
        <v>0</v>
      </c>
    </row>
    <row r="26" spans="1:47">
      <c r="A26" s="13" t="s">
        <v>20</v>
      </c>
      <c r="C26" s="74">
        <f>IF(C8&lt;Assumptions!$G$34,Assumptions!$G$42*Assumptions!$G$41*C6,0)</f>
        <v>53.715484244963946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26.85774212248198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Assumptions!$O$23*Assumptions!$H$69*Assumptions!H18/12</f>
        <v>0</v>
      </c>
      <c r="D27" s="74">
        <f>Assumptions!$O$23*Assumptions!$H$69*(1+Assumptions!$N$11)</f>
        <v>0</v>
      </c>
      <c r="E27" s="74">
        <f>Assumptions!$O$23*Assumptions!$H$69*(1+Assumptions!$N$11)</f>
        <v>0</v>
      </c>
      <c r="F27" s="74">
        <f>Assumptions!$O$23*Assumptions!$H$69*(1+Assumptions!$N$11)</f>
        <v>0</v>
      </c>
      <c r="G27" s="74">
        <f>Assumptions!$O$23*Assumptions!$H$69*(1+Assumptions!$N$11)</f>
        <v>0</v>
      </c>
      <c r="H27" s="74">
        <f>Assumptions!$O$23*Assumptions!$H$69*(1+Assumptions!$N$11)</f>
        <v>0</v>
      </c>
      <c r="I27" s="74">
        <f>Assumptions!$O$23*Assumptions!$H$69*(1+Assumptions!$N$11)</f>
        <v>0</v>
      </c>
      <c r="J27" s="74">
        <f>Assumptions!$O$23*Assumptions!$H$69*(1+Assumptions!$N$11)</f>
        <v>0</v>
      </c>
      <c r="K27" s="74">
        <f>Assumptions!$O$23*Assumptions!$H$69*(1+Assumptions!$N$11)</f>
        <v>0</v>
      </c>
      <c r="L27" s="74">
        <f>Assumptions!$O$23*Assumptions!$H$69*(1+Assumptions!$N$11)</f>
        <v>0</v>
      </c>
      <c r="M27" s="74">
        <f>Assumptions!$O$23*Assumptions!$H$69*(1+Assumptions!$N$11)</f>
        <v>0</v>
      </c>
      <c r="N27" s="74">
        <f>Assumptions!$O$23*Assumptions!$H$69*(1+Assumptions!$N$11)</f>
        <v>0</v>
      </c>
      <c r="O27" s="74">
        <f>Assumptions!$O$23*Assumptions!$H$69*(1+Assumptions!$N$11)</f>
        <v>0</v>
      </c>
      <c r="P27" s="74">
        <f>Assumptions!$O$23*Assumptions!$H$69*(1+Assumptions!$N$11)</f>
        <v>0</v>
      </c>
      <c r="Q27" s="74">
        <f>Assumptions!$O$23*Assumptions!$H$69*(1+Assumptions!$N$11)</f>
        <v>0</v>
      </c>
      <c r="R27" s="74">
        <f>Assumptions!$O$23*Assumptions!$H$69*(1+Assumptions!$N$11)</f>
        <v>0</v>
      </c>
      <c r="S27" s="74">
        <f>Assumptions!$O$23*Assumptions!$H$69*(1+Assumptions!$N$11)</f>
        <v>0</v>
      </c>
      <c r="T27" s="74">
        <f>Assumptions!$O$23*Assumptions!$H$69*(1+Assumptions!$N$11)</f>
        <v>0</v>
      </c>
      <c r="U27" s="74">
        <f>Assumptions!$O$23*Assumptions!$H$69*(1+Assumptions!$N$11)</f>
        <v>0</v>
      </c>
      <c r="V27" s="74">
        <f>Assumptions!$O$23*Assumptions!$H$69*(1+Assumptions!$N$11)</f>
        <v>0</v>
      </c>
      <c r="W27" s="74">
        <f>Assumptions!$O$23*Assumptions!$H$69*(1+Assumptions!$N$11)</f>
        <v>0</v>
      </c>
      <c r="X27" s="74">
        <f>Assumptions!$O$23*Assumptions!$H$69*(1+Assumptions!$N$11)</f>
        <v>0</v>
      </c>
      <c r="Y27" s="74">
        <f>Assumptions!$O$23*Assumptions!$H$69*(1+Assumptions!$N$11)</f>
        <v>0</v>
      </c>
      <c r="Z27" s="74">
        <f>Assumptions!$O$23*Assumptions!$H$69*(1+Assumptions!$N$11)</f>
        <v>0</v>
      </c>
      <c r="AA27" s="74">
        <f>Assumptions!$O$23*Assumptions!$H$69*(1+Assumptions!$N$11)</f>
        <v>0</v>
      </c>
      <c r="AB27" s="74">
        <f>Assumptions!$O$23*Assumptions!$H$69*(1+Assumptions!$N$11)</f>
        <v>0</v>
      </c>
      <c r="AC27" s="74">
        <f>Assumptions!$O$23*Assumptions!$H$69*(1+Assumptions!$N$11)</f>
        <v>0</v>
      </c>
      <c r="AD27" s="74">
        <f>Assumptions!$O$23*Assumptions!$H$69*(1+Assumptions!$N$11)</f>
        <v>0</v>
      </c>
      <c r="AE27" s="74">
        <f>Assumptions!$O$23*Assumptions!$H$69*(1+Assumptions!$N$11)</f>
        <v>0</v>
      </c>
      <c r="AF27" s="74">
        <f>Assumptions!$O$23*Assumptions!$H$69*(1+Assumptions!$N$11)</f>
        <v>0</v>
      </c>
      <c r="AG27" s="74">
        <f>Assumptions!$O$23*Assumptions!$H$69*(1+Assumptions!$N$11)</f>
        <v>0</v>
      </c>
    </row>
    <row r="28" spans="1:47">
      <c r="A28" s="3" t="s">
        <v>45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Assumptions!$N25*Assumptions!H18/12</f>
        <v>62</v>
      </c>
      <c r="D29" s="75">
        <f>Assumptions!$N25*(1+Assumptions!$N$11)</f>
        <v>95.79</v>
      </c>
      <c r="E29" s="75">
        <f>D29*(1+Assumptions!$N$11)</f>
        <v>98.663700000000006</v>
      </c>
      <c r="F29" s="75">
        <f>E29*(1+Assumptions!$N$11)</f>
        <v>101.62361100000001</v>
      </c>
      <c r="G29" s="75">
        <f>F29*(1+Assumptions!$N$11)</f>
        <v>104.67231933000001</v>
      </c>
      <c r="H29" s="75">
        <f>G29*(1+Assumptions!$N$11)</f>
        <v>107.81248890990001</v>
      </c>
      <c r="I29" s="75">
        <f>H29*(1+Assumptions!$N$11)</f>
        <v>111.04686357719702</v>
      </c>
      <c r="J29" s="75">
        <f>I29*(1+Assumptions!$N$11)</f>
        <v>114.37826948451293</v>
      </c>
      <c r="K29" s="75">
        <f>J29*(1+Assumptions!$N$11)</f>
        <v>117.80961756904831</v>
      </c>
      <c r="L29" s="75">
        <f>K29*(1+Assumptions!$N$11)</f>
        <v>121.34390609611977</v>
      </c>
      <c r="M29" s="75">
        <f>L29*(1+Assumptions!$N$11)</f>
        <v>124.98422327900336</v>
      </c>
      <c r="N29" s="75">
        <f>M29*(1+Assumptions!$N$11)</f>
        <v>128.73374997737346</v>
      </c>
      <c r="O29" s="75">
        <f>N29*(1+Assumptions!$N$11)</f>
        <v>132.59576247669466</v>
      </c>
      <c r="P29" s="75">
        <f>O29*(1+Assumptions!$N$11)</f>
        <v>136.57363535099552</v>
      </c>
      <c r="Q29" s="75">
        <f>P29*(1+Assumptions!$N$11)</f>
        <v>140.67084441152539</v>
      </c>
      <c r="R29" s="75">
        <f>Q29*(1+Assumptions!$N$11)</f>
        <v>144.89096974387115</v>
      </c>
      <c r="S29" s="75">
        <f>R29*(1+Assumptions!$N$11)</f>
        <v>149.23769883618729</v>
      </c>
      <c r="T29" s="75">
        <f>S29*(1+Assumptions!$N$11)</f>
        <v>153.71482980127291</v>
      </c>
      <c r="U29" s="75">
        <f>T29*(1+Assumptions!$N$11)</f>
        <v>158.3262746953111</v>
      </c>
      <c r="V29" s="75">
        <f>U29*(1+Assumptions!$N$11)</f>
        <v>163.07606293617044</v>
      </c>
      <c r="W29" s="75">
        <f>V29*(1+Assumptions!$N$11)</f>
        <v>167.96834482425555</v>
      </c>
      <c r="X29" s="75">
        <f>W29*(1+Assumptions!$N$11)</f>
        <v>173.00739516898324</v>
      </c>
      <c r="Y29" s="75">
        <f>X29*(1+Assumptions!$N$11)</f>
        <v>178.19761702405273</v>
      </c>
      <c r="Z29" s="75">
        <f>Y29*(1+Assumptions!$N$11)</f>
        <v>183.54354553477432</v>
      </c>
      <c r="AA29" s="75">
        <f>Z29*(1+Assumptions!$N$11)</f>
        <v>189.04985190081757</v>
      </c>
      <c r="AB29" s="75">
        <f>AA29*(1+Assumptions!$N$11)</f>
        <v>194.72134745784211</v>
      </c>
      <c r="AC29" s="75">
        <f>AB29*(1+Assumptions!$N$11)</f>
        <v>200.56298788157738</v>
      </c>
      <c r="AD29" s="75">
        <f>AC29*(1+Assumptions!$N$11)</f>
        <v>206.57987751802472</v>
      </c>
      <c r="AE29" s="75">
        <f>AD29*(1+Assumptions!$N$11)</f>
        <v>212.77727384356547</v>
      </c>
      <c r="AF29" s="75">
        <f>AE29*(1+Assumptions!$N$11)</f>
        <v>219.16059205887242</v>
      </c>
      <c r="AG29" s="75">
        <f>AF29*(1+Assumptions!$N$11)</f>
        <v>225.73540982063861</v>
      </c>
    </row>
    <row r="30" spans="1:47">
      <c r="A30" s="3" t="s">
        <v>47</v>
      </c>
      <c r="C30" s="65">
        <f t="shared" ref="C30:X30" si="1">SUM(C16:C29)</f>
        <v>17494.433529816892</v>
      </c>
      <c r="D30" s="65">
        <f t="shared" si="1"/>
        <v>17661.925776164328</v>
      </c>
      <c r="E30" s="65">
        <f t="shared" si="1"/>
        <v>17876.905332581729</v>
      </c>
      <c r="F30" s="65">
        <f t="shared" si="1"/>
        <v>18177.690541981781</v>
      </c>
      <c r="G30" s="65">
        <f t="shared" si="1"/>
        <v>18529.312777241339</v>
      </c>
      <c r="H30" s="65">
        <f t="shared" si="1"/>
        <v>18901.105056891185</v>
      </c>
      <c r="I30" s="65">
        <f t="shared" si="1"/>
        <v>19284.926946806474</v>
      </c>
      <c r="J30" s="65">
        <f t="shared" si="1"/>
        <v>19695.16460270996</v>
      </c>
      <c r="K30" s="65">
        <f t="shared" si="1"/>
        <v>20131.871545687012</v>
      </c>
      <c r="L30" s="65">
        <f t="shared" si="1"/>
        <v>20595.102867124959</v>
      </c>
      <c r="M30" s="65">
        <f t="shared" si="1"/>
        <v>21084.915275115574</v>
      </c>
      <c r="N30" s="65">
        <f t="shared" si="1"/>
        <v>21543.006634172918</v>
      </c>
      <c r="O30" s="65">
        <f t="shared" si="1"/>
        <v>21961.246082057751</v>
      </c>
      <c r="P30" s="65">
        <f t="shared" si="1"/>
        <v>22714.431363250715</v>
      </c>
      <c r="Q30" s="65">
        <f t="shared" si="1"/>
        <v>23311.169234867757</v>
      </c>
      <c r="R30" s="65">
        <f t="shared" si="1"/>
        <v>23934.797706937894</v>
      </c>
      <c r="S30" s="65">
        <f t="shared" si="1"/>
        <v>24531.668758094129</v>
      </c>
      <c r="T30" s="65">
        <f t="shared" si="1"/>
        <v>25182.425060072812</v>
      </c>
      <c r="U30" s="65">
        <f t="shared" si="1"/>
        <v>25887.138099380591</v>
      </c>
      <c r="V30" s="65">
        <f t="shared" si="1"/>
        <v>26619.023721929083</v>
      </c>
      <c r="W30" s="65">
        <f t="shared" si="1"/>
        <v>27378.15767946421</v>
      </c>
      <c r="X30" s="65">
        <f t="shared" si="1"/>
        <v>14389.285537889107</v>
      </c>
      <c r="Y30" s="65">
        <f t="shared" ref="Y30:AG30" si="2">SUM(Y16:Y29)</f>
        <v>14490.539878050191</v>
      </c>
      <c r="Z30" s="65">
        <f t="shared" si="2"/>
        <v>14594.710595108594</v>
      </c>
      <c r="AA30" s="65">
        <f t="shared" si="2"/>
        <v>14701.882755305085</v>
      </c>
      <c r="AB30" s="65">
        <f t="shared" si="2"/>
        <v>14812.143928366337</v>
      </c>
      <c r="AC30" s="65">
        <f t="shared" si="2"/>
        <v>14925.584261639471</v>
      </c>
      <c r="AD30" s="65">
        <f t="shared" si="2"/>
        <v>15042.296556431236</v>
      </c>
      <c r="AE30" s="65">
        <f t="shared" si="2"/>
        <v>15162.37634661761</v>
      </c>
      <c r="AF30" s="65">
        <f t="shared" si="2"/>
        <v>15285.92197959144</v>
      </c>
      <c r="AG30" s="65">
        <f t="shared" si="2"/>
        <v>15413.034699617994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48</v>
      </c>
      <c r="C32" s="122">
        <f t="shared" ref="C32:X32" si="3">C13-C30</f>
        <v>8999.0311824216951</v>
      </c>
      <c r="D32" s="122">
        <f t="shared" si="3"/>
        <v>13674.64677363255</v>
      </c>
      <c r="E32" s="122">
        <f t="shared" si="3"/>
        <v>13650.10977363255</v>
      </c>
      <c r="F32" s="122">
        <f t="shared" si="3"/>
        <v>13624.918263632557</v>
      </c>
      <c r="G32" s="122">
        <f t="shared" si="3"/>
        <v>13599.054240332553</v>
      </c>
      <c r="H32" s="122">
        <f t="shared" si="3"/>
        <v>13572.499192973544</v>
      </c>
      <c r="I32" s="122">
        <f t="shared" si="3"/>
        <v>13545.234088766578</v>
      </c>
      <c r="J32" s="122">
        <f t="shared" si="3"/>
        <v>13517.239357897659</v>
      </c>
      <c r="K32" s="122">
        <f t="shared" si="3"/>
        <v>13488.494878096208</v>
      </c>
      <c r="L32" s="122">
        <f t="shared" si="3"/>
        <v>13458.979958754127</v>
      </c>
      <c r="M32" s="122">
        <f t="shared" si="3"/>
        <v>13428.673324582258</v>
      </c>
      <c r="N32" s="122">
        <f t="shared" si="3"/>
        <v>13397.553098790733</v>
      </c>
      <c r="O32" s="122">
        <f t="shared" si="3"/>
        <v>13365.596785779057</v>
      </c>
      <c r="P32" s="122">
        <f t="shared" si="3"/>
        <v>13332.781253321704</v>
      </c>
      <c r="Q32" s="122">
        <f t="shared" si="3"/>
        <v>13299.082714234199</v>
      </c>
      <c r="R32" s="122">
        <f t="shared" si="3"/>
        <v>13264.476707504498</v>
      </c>
      <c r="S32" s="122">
        <f t="shared" si="3"/>
        <v>13282.653563118911</v>
      </c>
      <c r="T32" s="122">
        <f t="shared" si="3"/>
        <v>13273.014187218992</v>
      </c>
      <c r="U32" s="122">
        <f t="shared" si="3"/>
        <v>13235.531978512347</v>
      </c>
      <c r="V32" s="122">
        <f t="shared" si="3"/>
        <v>13197.037322858017</v>
      </c>
      <c r="W32" s="122">
        <f t="shared" si="3"/>
        <v>3657.8015219324807</v>
      </c>
      <c r="X32" s="122">
        <f t="shared" si="3"/>
        <v>-1592.2226605651995</v>
      </c>
      <c r="Y32" s="122">
        <f t="shared" ref="Y32:AG32" si="4">Y13-Y30</f>
        <v>-1633.9266750065653</v>
      </c>
      <c r="Z32" s="122">
        <f t="shared" si="4"/>
        <v>-1676.7605565736612</v>
      </c>
      <c r="AA32" s="122">
        <f t="shared" si="4"/>
        <v>-1720.7557762141041</v>
      </c>
      <c r="AB32" s="122">
        <f t="shared" si="4"/>
        <v>-1765.9447005026268</v>
      </c>
      <c r="AC32" s="122">
        <f t="shared" si="4"/>
        <v>-1812.360617539849</v>
      </c>
      <c r="AD32" s="122">
        <f t="shared" si="4"/>
        <v>-1860.037763608625</v>
      </c>
      <c r="AE32" s="122">
        <f t="shared" si="4"/>
        <v>-1909.0113506103207</v>
      </c>
      <c r="AF32" s="122">
        <f t="shared" si="4"/>
        <v>-1959.3175943039314</v>
      </c>
      <c r="AG32" s="122">
        <f t="shared" si="4"/>
        <v>-2010.9937433718624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49</v>
      </c>
      <c r="C34" s="65">
        <f>Depreciation!D48</f>
        <v>2707.4494870503841</v>
      </c>
      <c r="D34" s="65">
        <f>Depreciation!E48</f>
        <v>4061.1742305755761</v>
      </c>
      <c r="E34" s="65">
        <f>Depreciation!F48</f>
        <v>4061.1742305755761</v>
      </c>
      <c r="F34" s="65">
        <f>Depreciation!G48</f>
        <v>4061.1742305755761</v>
      </c>
      <c r="G34" s="65">
        <f>Depreciation!H48</f>
        <v>4061.1742305755761</v>
      </c>
      <c r="H34" s="65">
        <f>Depreciation!I48</f>
        <v>3474.734230575576</v>
      </c>
      <c r="I34" s="65">
        <f>Depreciation!J48</f>
        <v>3181.5142305755758</v>
      </c>
      <c r="J34" s="65">
        <f>Depreciation!K48</f>
        <v>3181.5142305755758</v>
      </c>
      <c r="K34" s="65">
        <f>Depreciation!L48</f>
        <v>3181.5142305755758</v>
      </c>
      <c r="L34" s="65">
        <f>Depreciation!M48</f>
        <v>3181.5142305755758</v>
      </c>
      <c r="M34" s="65">
        <f>Depreciation!N48</f>
        <v>3181.5142305755758</v>
      </c>
      <c r="N34" s="65">
        <f>Depreciation!O48</f>
        <v>3181.5142305755758</v>
      </c>
      <c r="O34" s="65">
        <f>Depreciation!P48</f>
        <v>3181.5142305755758</v>
      </c>
      <c r="P34" s="65">
        <f>Depreciation!Q48</f>
        <v>3181.5142305755758</v>
      </c>
      <c r="Q34" s="65">
        <f>Depreciation!R48</f>
        <v>3181.5142305755758</v>
      </c>
      <c r="R34" s="65">
        <f>Depreciation!S48</f>
        <v>3181.5142305755758</v>
      </c>
      <c r="S34" s="65">
        <f>Depreciation!T48</f>
        <v>3181.5142305755758</v>
      </c>
      <c r="T34" s="65">
        <f>Depreciation!U48</f>
        <v>3181.5142305755758</v>
      </c>
      <c r="U34" s="65">
        <f>Depreciation!V48</f>
        <v>3181.5142305755758</v>
      </c>
      <c r="V34" s="65">
        <f>Depreciation!W48</f>
        <v>3181.5142305755758</v>
      </c>
      <c r="W34" s="65">
        <f>Depreciation!X48</f>
        <v>3148.1808972422423</v>
      </c>
      <c r="X34" s="65">
        <f>Depreciation!Y48</f>
        <v>3131.5142305755758</v>
      </c>
      <c r="Y34" s="65">
        <f>Depreciation!Z48</f>
        <v>3131.5142305755758</v>
      </c>
      <c r="Z34" s="65">
        <f>Depreciation!AA48</f>
        <v>3131.5142305755758</v>
      </c>
      <c r="AA34" s="65">
        <f>Depreciation!AB48</f>
        <v>3131.5142305755758</v>
      </c>
      <c r="AB34" s="65">
        <f>Depreciation!AC48</f>
        <v>3131.5142305755758</v>
      </c>
      <c r="AC34" s="65">
        <f>Depreciation!AD48</f>
        <v>3131.5142305755758</v>
      </c>
      <c r="AD34" s="65">
        <f>Depreciation!AE48</f>
        <v>3131.5142305755758</v>
      </c>
      <c r="AE34" s="65">
        <f>Depreciation!AF48</f>
        <v>3131.5142305755758</v>
      </c>
      <c r="AF34" s="65">
        <f>Depreciation!AG48</f>
        <v>3131.5142305755758</v>
      </c>
      <c r="AG34" s="65">
        <f>Depreciation!AH48</f>
        <v>1043.8380768585255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2">
        <f>C32-C34</f>
        <v>6291.5816953713111</v>
      </c>
      <c r="D36" s="122">
        <f t="shared" ref="D36:X36" si="5">D32-D34</f>
        <v>9613.4725430569742</v>
      </c>
      <c r="E36" s="122">
        <f t="shared" si="5"/>
        <v>9588.935543056974</v>
      </c>
      <c r="F36" s="122">
        <f t="shared" si="5"/>
        <v>9563.7440330569807</v>
      </c>
      <c r="G36" s="122">
        <f t="shared" si="5"/>
        <v>9537.8800097569765</v>
      </c>
      <c r="H36" s="122">
        <f t="shared" si="5"/>
        <v>10097.764962397969</v>
      </c>
      <c r="I36" s="122">
        <f t="shared" si="5"/>
        <v>10363.719858191002</v>
      </c>
      <c r="J36" s="122">
        <f t="shared" si="5"/>
        <v>10335.725127322083</v>
      </c>
      <c r="K36" s="122">
        <f t="shared" si="5"/>
        <v>10306.980647520631</v>
      </c>
      <c r="L36" s="122">
        <f t="shared" si="5"/>
        <v>10277.465728178551</v>
      </c>
      <c r="M36" s="122">
        <f t="shared" si="5"/>
        <v>10247.159094006682</v>
      </c>
      <c r="N36" s="122">
        <f t="shared" si="5"/>
        <v>10216.038868215157</v>
      </c>
      <c r="O36" s="122">
        <f t="shared" si="5"/>
        <v>10184.08255520348</v>
      </c>
      <c r="P36" s="122">
        <f t="shared" si="5"/>
        <v>10151.267022746128</v>
      </c>
      <c r="Q36" s="122">
        <f t="shared" si="5"/>
        <v>10117.568483658622</v>
      </c>
      <c r="R36" s="122">
        <f t="shared" si="5"/>
        <v>10082.962476928922</v>
      </c>
      <c r="S36" s="122">
        <f t="shared" si="5"/>
        <v>10101.139332543335</v>
      </c>
      <c r="T36" s="122">
        <f t="shared" si="5"/>
        <v>10091.499956643416</v>
      </c>
      <c r="U36" s="122">
        <f t="shared" si="5"/>
        <v>10054.01774793677</v>
      </c>
      <c r="V36" s="122">
        <f t="shared" si="5"/>
        <v>10015.523092282441</v>
      </c>
      <c r="W36" s="122">
        <f t="shared" si="5"/>
        <v>509.6206246902384</v>
      </c>
      <c r="X36" s="122">
        <f t="shared" si="5"/>
        <v>-4723.7368911407757</v>
      </c>
      <c r="Y36" s="122">
        <f t="shared" ref="Y36:AG36" si="6">Y32-Y34</f>
        <v>-4765.4409055821416</v>
      </c>
      <c r="Z36" s="122">
        <f t="shared" si="6"/>
        <v>-4808.2747871492375</v>
      </c>
      <c r="AA36" s="122">
        <f t="shared" si="6"/>
        <v>-4852.2700067896803</v>
      </c>
      <c r="AB36" s="122">
        <f t="shared" si="6"/>
        <v>-4897.458931078203</v>
      </c>
      <c r="AC36" s="122">
        <f t="shared" si="6"/>
        <v>-4943.8748481154253</v>
      </c>
      <c r="AD36" s="122">
        <f t="shared" si="6"/>
        <v>-4991.5519941842012</v>
      </c>
      <c r="AE36" s="122">
        <f t="shared" si="6"/>
        <v>-5040.525581185897</v>
      </c>
      <c r="AF36" s="122">
        <f t="shared" si="6"/>
        <v>-5090.8318248795076</v>
      </c>
      <c r="AG36" s="122">
        <f t="shared" si="6"/>
        <v>-3054.8318202303881</v>
      </c>
    </row>
    <row r="37" spans="1:33">
      <c r="A37" s="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>
      <c r="A38" s="3" t="s">
        <v>135</v>
      </c>
      <c r="C38" s="65">
        <f>Debt!B57</f>
        <v>5004.6758144825417</v>
      </c>
      <c r="D38" s="65">
        <f>Debt!C57</f>
        <v>7302.6851272096173</v>
      </c>
      <c r="E38" s="65">
        <f>Debt!D57</f>
        <v>7034.1702254303418</v>
      </c>
      <c r="F38" s="65">
        <f>Debt!E57</f>
        <v>6743.5501064070049</v>
      </c>
      <c r="G38" s="65">
        <f>Debt!F57</f>
        <v>6428.2761783143942</v>
      </c>
      <c r="H38" s="65">
        <f>Debt!G57</f>
        <v>6089.3660753036256</v>
      </c>
      <c r="I38" s="65">
        <f>Debt!H57</f>
        <v>5723.443195552627</v>
      </c>
      <c r="J38" s="65">
        <f>Debt!I57</f>
        <v>5329.3085666461047</v>
      </c>
      <c r="K38" s="65">
        <f>Debt!J57</f>
        <v>4901.9424600426992</v>
      </c>
      <c r="L38" s="65">
        <f>Debt!K57</f>
        <v>4441.7404387021052</v>
      </c>
      <c r="M38" s="65">
        <f>Debt!L57</f>
        <v>3944.4866717350587</v>
      </c>
      <c r="N38" s="65">
        <f>Debt!M57</f>
        <v>3408.1802235298915</v>
      </c>
      <c r="O38" s="65">
        <f>Debt!N57</f>
        <v>2826.8106335424804</v>
      </c>
      <c r="P38" s="65">
        <f>Debt!O57</f>
        <v>2199.9191505125036</v>
      </c>
      <c r="Q38" s="65">
        <f>Debt!P57</f>
        <v>1522.1292092840151</v>
      </c>
      <c r="R38" s="65">
        <f>Debt!Q57</f>
        <v>790.33420091622565</v>
      </c>
      <c r="S38" s="65">
        <f>Debt!R57</f>
        <v>100.82905832996461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9.0824300885705256</v>
      </c>
      <c r="Y38" s="65">
        <f>Debt!X57</f>
        <v>71.162111082019322</v>
      </c>
      <c r="Z38" s="65">
        <f>Debt!Y57</f>
        <v>183.56216165474493</v>
      </c>
      <c r="AA38" s="65">
        <f>Debt!Z57</f>
        <v>308.48593491416489</v>
      </c>
      <c r="AB38" s="65">
        <f>Debt!AA57</f>
        <v>446.60277003179039</v>
      </c>
      <c r="AC38" s="65">
        <f>Debt!AB57</f>
        <v>599.33687292075899</v>
      </c>
      <c r="AD38" s="65">
        <f>Debt!AC57</f>
        <v>767.82522609933744</v>
      </c>
      <c r="AE38" s="65">
        <f>Debt!AD57</f>
        <v>953.92934429604054</v>
      </c>
      <c r="AF38" s="65">
        <f>Debt!AE57</f>
        <v>1158.6564148331115</v>
      </c>
      <c r="AG38" s="65">
        <f>Debt!AF57</f>
        <v>1425.1911833923846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211</v>
      </c>
      <c r="C40" s="122">
        <f>C36-C38</f>
        <v>1286.9058808887694</v>
      </c>
      <c r="D40" s="122">
        <f t="shared" ref="D40:X40" si="7">D36-D38</f>
        <v>2310.7874158473569</v>
      </c>
      <c r="E40" s="122">
        <f t="shared" si="7"/>
        <v>2554.7653176266322</v>
      </c>
      <c r="F40" s="122">
        <f t="shared" si="7"/>
        <v>2820.1939266499758</v>
      </c>
      <c r="G40" s="122">
        <f t="shared" si="7"/>
        <v>3109.6038314425823</v>
      </c>
      <c r="H40" s="122">
        <f t="shared" si="7"/>
        <v>4008.3988870943431</v>
      </c>
      <c r="I40" s="122">
        <f t="shared" si="7"/>
        <v>4640.2766626383745</v>
      </c>
      <c r="J40" s="122">
        <f t="shared" si="7"/>
        <v>5006.416560675978</v>
      </c>
      <c r="K40" s="122">
        <f t="shared" si="7"/>
        <v>5405.0381874779323</v>
      </c>
      <c r="L40" s="122">
        <f t="shared" si="7"/>
        <v>5835.7252894764461</v>
      </c>
      <c r="M40" s="122">
        <f t="shared" si="7"/>
        <v>6302.672422271623</v>
      </c>
      <c r="N40" s="122">
        <f t="shared" si="7"/>
        <v>6807.858644685266</v>
      </c>
      <c r="O40" s="122">
        <f t="shared" si="7"/>
        <v>7357.2719216610003</v>
      </c>
      <c r="P40" s="122">
        <f t="shared" si="7"/>
        <v>7951.347872233624</v>
      </c>
      <c r="Q40" s="122">
        <f t="shared" si="7"/>
        <v>8595.4392743746066</v>
      </c>
      <c r="R40" s="122">
        <f t="shared" si="7"/>
        <v>9292.628276012696</v>
      </c>
      <c r="S40" s="122">
        <f t="shared" si="7"/>
        <v>10000.310274213371</v>
      </c>
      <c r="T40" s="122">
        <f t="shared" si="7"/>
        <v>10091.499956643416</v>
      </c>
      <c r="U40" s="122">
        <f t="shared" si="7"/>
        <v>10054.01774793677</v>
      </c>
      <c r="V40" s="122">
        <f t="shared" si="7"/>
        <v>10015.523092282441</v>
      </c>
      <c r="W40" s="122">
        <f t="shared" si="7"/>
        <v>509.6206246902384</v>
      </c>
      <c r="X40" s="122">
        <f t="shared" si="7"/>
        <v>-4732.8193212293463</v>
      </c>
      <c r="Y40" s="122">
        <f t="shared" ref="Y40:AG40" si="8">Y36-Y38</f>
        <v>-4836.6030166641613</v>
      </c>
      <c r="Z40" s="122">
        <f t="shared" si="8"/>
        <v>-4991.8369488039825</v>
      </c>
      <c r="AA40" s="122">
        <f t="shared" si="8"/>
        <v>-5160.7559417038456</v>
      </c>
      <c r="AB40" s="122">
        <f t="shared" si="8"/>
        <v>-5344.061701109993</v>
      </c>
      <c r="AC40" s="122">
        <f t="shared" si="8"/>
        <v>-5543.2117210361839</v>
      </c>
      <c r="AD40" s="122">
        <f t="shared" si="8"/>
        <v>-5759.3772202835389</v>
      </c>
      <c r="AE40" s="122">
        <f t="shared" si="8"/>
        <v>-5994.4549254819376</v>
      </c>
      <c r="AF40" s="122">
        <f t="shared" si="8"/>
        <v>-6249.4882397126194</v>
      </c>
      <c r="AG40" s="122">
        <f t="shared" si="8"/>
        <v>-4480.0230036227731</v>
      </c>
    </row>
    <row r="41" spans="1:33">
      <c r="A41" s="1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</row>
    <row r="42" spans="1:33">
      <c r="A42" s="3" t="s">
        <v>51</v>
      </c>
      <c r="B42" s="344">
        <f>Assumptions!N51</f>
        <v>7.0000000000000007E-2</v>
      </c>
      <c r="C42" s="74">
        <f>-C40*$B$42</f>
        <v>-90.083411662213862</v>
      </c>
      <c r="D42" s="74">
        <f t="shared" ref="D42:AG42" si="9">-D40*$B$42</f>
        <v>-161.75511910931499</v>
      </c>
      <c r="E42" s="74">
        <f t="shared" si="9"/>
        <v>-178.83357223386426</v>
      </c>
      <c r="F42" s="74">
        <f t="shared" si="9"/>
        <v>-197.41357486549833</v>
      </c>
      <c r="G42" s="74">
        <f t="shared" si="9"/>
        <v>-217.6722682009808</v>
      </c>
      <c r="H42" s="74">
        <f t="shared" si="9"/>
        <v>-280.58792209660402</v>
      </c>
      <c r="I42" s="74">
        <f t="shared" si="9"/>
        <v>-324.81936638468625</v>
      </c>
      <c r="J42" s="74">
        <f t="shared" si="9"/>
        <v>-350.44915924731851</v>
      </c>
      <c r="K42" s="74">
        <f t="shared" si="9"/>
        <v>-378.3526731234553</v>
      </c>
      <c r="L42" s="74">
        <f t="shared" si="9"/>
        <v>-408.50077026335128</v>
      </c>
      <c r="M42" s="74">
        <f t="shared" si="9"/>
        <v>-441.18706955901365</v>
      </c>
      <c r="N42" s="74">
        <f t="shared" si="9"/>
        <v>-476.55010512796866</v>
      </c>
      <c r="O42" s="74">
        <f t="shared" si="9"/>
        <v>-515.00903451627005</v>
      </c>
      <c r="P42" s="74">
        <f t="shared" si="9"/>
        <v>-556.59435105635373</v>
      </c>
      <c r="Q42" s="74">
        <f t="shared" si="9"/>
        <v>-601.68074920622257</v>
      </c>
      <c r="R42" s="74">
        <f t="shared" si="9"/>
        <v>-650.48397932088881</v>
      </c>
      <c r="S42" s="74">
        <f t="shared" si="9"/>
        <v>-700.02171919493605</v>
      </c>
      <c r="T42" s="74">
        <f t="shared" si="9"/>
        <v>-706.40499696503923</v>
      </c>
      <c r="U42" s="74">
        <f t="shared" si="9"/>
        <v>-703.78124235557402</v>
      </c>
      <c r="V42" s="74">
        <f t="shared" si="9"/>
        <v>-701.08661645977099</v>
      </c>
      <c r="W42" s="74">
        <f t="shared" si="9"/>
        <v>-35.673443728316691</v>
      </c>
      <c r="X42" s="74">
        <f t="shared" si="9"/>
        <v>331.29735248605425</v>
      </c>
      <c r="Y42" s="74">
        <f t="shared" si="9"/>
        <v>338.56221116649129</v>
      </c>
      <c r="Z42" s="74">
        <f t="shared" si="9"/>
        <v>349.42858641627879</v>
      </c>
      <c r="AA42" s="74">
        <f t="shared" si="9"/>
        <v>361.25291591926924</v>
      </c>
      <c r="AB42" s="74">
        <f t="shared" si="9"/>
        <v>374.08431907769955</v>
      </c>
      <c r="AC42" s="74">
        <f t="shared" si="9"/>
        <v>388.02482047253289</v>
      </c>
      <c r="AD42" s="74">
        <f t="shared" si="9"/>
        <v>403.15640541984777</v>
      </c>
      <c r="AE42" s="74">
        <f t="shared" si="9"/>
        <v>419.61184478373565</v>
      </c>
      <c r="AF42" s="74">
        <f t="shared" si="9"/>
        <v>437.46417677988342</v>
      </c>
      <c r="AG42" s="74">
        <f t="shared" si="9"/>
        <v>313.60161025359417</v>
      </c>
    </row>
    <row r="43" spans="1:33">
      <c r="A43" s="3" t="s">
        <v>52</v>
      </c>
      <c r="B43" s="344">
        <f>Assumptions!N50</f>
        <v>0.35</v>
      </c>
      <c r="C43" s="74">
        <f t="shared" ref="C43:AG43" si="10">(C40+C42)*-$B$43</f>
        <v>-418.88786422929439</v>
      </c>
      <c r="D43" s="74">
        <f t="shared" si="10"/>
        <v>-752.16130385831468</v>
      </c>
      <c r="E43" s="74">
        <f t="shared" si="10"/>
        <v>-831.57611088746876</v>
      </c>
      <c r="F43" s="74">
        <f t="shared" si="10"/>
        <v>-917.973123124567</v>
      </c>
      <c r="G43" s="74">
        <f t="shared" si="10"/>
        <v>-1012.1760471345605</v>
      </c>
      <c r="H43" s="74">
        <f t="shared" si="10"/>
        <v>-1304.7338377492085</v>
      </c>
      <c r="I43" s="74">
        <f t="shared" si="10"/>
        <v>-1510.4100536887909</v>
      </c>
      <c r="J43" s="74">
        <f t="shared" si="10"/>
        <v>-1629.5885905000307</v>
      </c>
      <c r="K43" s="74">
        <f t="shared" si="10"/>
        <v>-1759.3399300240669</v>
      </c>
      <c r="L43" s="74">
        <f t="shared" si="10"/>
        <v>-1899.5285817245831</v>
      </c>
      <c r="M43" s="74">
        <f t="shared" si="10"/>
        <v>-2051.5198734494134</v>
      </c>
      <c r="N43" s="74">
        <f t="shared" si="10"/>
        <v>-2215.9579888450539</v>
      </c>
      <c r="O43" s="74">
        <f t="shared" si="10"/>
        <v>-2394.7920105006556</v>
      </c>
      <c r="P43" s="74">
        <f t="shared" si="10"/>
        <v>-2588.1637324120443</v>
      </c>
      <c r="Q43" s="74">
        <f t="shared" si="10"/>
        <v>-2797.8154838089345</v>
      </c>
      <c r="R43" s="74">
        <f t="shared" si="10"/>
        <v>-3024.7505038421323</v>
      </c>
      <c r="S43" s="74">
        <f t="shared" si="10"/>
        <v>-3255.1009942564519</v>
      </c>
      <c r="T43" s="74">
        <f t="shared" si="10"/>
        <v>-3284.7832358874321</v>
      </c>
      <c r="U43" s="74">
        <f t="shared" si="10"/>
        <v>-3272.5827769534189</v>
      </c>
      <c r="V43" s="74">
        <f t="shared" si="10"/>
        <v>-3260.0527665379341</v>
      </c>
      <c r="W43" s="74">
        <f t="shared" si="10"/>
        <v>-165.88151333667258</v>
      </c>
      <c r="X43" s="74">
        <f t="shared" si="10"/>
        <v>1540.5326890601521</v>
      </c>
      <c r="Y43" s="74">
        <f t="shared" si="10"/>
        <v>1574.3142819241843</v>
      </c>
      <c r="Z43" s="74">
        <f t="shared" si="10"/>
        <v>1624.8429268356963</v>
      </c>
      <c r="AA43" s="74">
        <f t="shared" si="10"/>
        <v>1679.8260590246016</v>
      </c>
      <c r="AB43" s="74">
        <f t="shared" si="10"/>
        <v>1739.4920837113027</v>
      </c>
      <c r="AC43" s="74">
        <f t="shared" si="10"/>
        <v>1804.3154151972776</v>
      </c>
      <c r="AD43" s="74">
        <f t="shared" si="10"/>
        <v>1874.6772852022916</v>
      </c>
      <c r="AE43" s="74">
        <f t="shared" si="10"/>
        <v>1951.1950782443707</v>
      </c>
      <c r="AF43" s="74">
        <f t="shared" si="10"/>
        <v>2034.2084220264576</v>
      </c>
      <c r="AG43" s="74">
        <f t="shared" si="10"/>
        <v>1458.2474876792126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69">
        <f t="shared" ref="C45:AG45" si="11">C40+C42+C43</f>
        <v>777.9346049972612</v>
      </c>
      <c r="D45" s="369">
        <f t="shared" si="11"/>
        <v>1396.8709928797275</v>
      </c>
      <c r="E45" s="369">
        <f t="shared" si="11"/>
        <v>1544.3556345052991</v>
      </c>
      <c r="F45" s="369">
        <f t="shared" si="11"/>
        <v>1704.8072286599104</v>
      </c>
      <c r="G45" s="369">
        <f t="shared" si="11"/>
        <v>1879.7555161070409</v>
      </c>
      <c r="H45" s="369">
        <f t="shared" si="11"/>
        <v>2423.0771272485308</v>
      </c>
      <c r="I45" s="369">
        <f t="shared" si="11"/>
        <v>2805.0472425648977</v>
      </c>
      <c r="J45" s="369">
        <f t="shared" si="11"/>
        <v>3026.3788109286288</v>
      </c>
      <c r="K45" s="369">
        <f t="shared" si="11"/>
        <v>3267.34558433041</v>
      </c>
      <c r="L45" s="369">
        <f t="shared" si="11"/>
        <v>3527.6959374885118</v>
      </c>
      <c r="M45" s="369">
        <f t="shared" si="11"/>
        <v>3809.9654792631964</v>
      </c>
      <c r="N45" s="369">
        <f t="shared" si="11"/>
        <v>4115.3505507122427</v>
      </c>
      <c r="O45" s="369">
        <f t="shared" si="11"/>
        <v>4447.4708766440745</v>
      </c>
      <c r="P45" s="369">
        <f t="shared" si="11"/>
        <v>4806.5897887652263</v>
      </c>
      <c r="Q45" s="369">
        <f t="shared" si="11"/>
        <v>5195.9430413594491</v>
      </c>
      <c r="R45" s="369">
        <f t="shared" si="11"/>
        <v>5617.3937928496753</v>
      </c>
      <c r="S45" s="369">
        <f t="shared" si="11"/>
        <v>6045.1875607619822</v>
      </c>
      <c r="T45" s="369">
        <f t="shared" si="11"/>
        <v>6100.3117237909455</v>
      </c>
      <c r="U45" s="369">
        <f t="shared" si="11"/>
        <v>6077.653728627778</v>
      </c>
      <c r="V45" s="369">
        <f t="shared" si="11"/>
        <v>6054.3837092847352</v>
      </c>
      <c r="W45" s="369">
        <f t="shared" si="11"/>
        <v>308.06566762524915</v>
      </c>
      <c r="X45" s="369">
        <f t="shared" si="11"/>
        <v>-2860.98927968314</v>
      </c>
      <c r="Y45" s="369">
        <f t="shared" si="11"/>
        <v>-2923.7265235734853</v>
      </c>
      <c r="Z45" s="369">
        <f t="shared" si="11"/>
        <v>-3017.5654355520078</v>
      </c>
      <c r="AA45" s="369">
        <f t="shared" si="11"/>
        <v>-3119.6769667599747</v>
      </c>
      <c r="AB45" s="369">
        <f t="shared" si="11"/>
        <v>-3230.4852983209908</v>
      </c>
      <c r="AC45" s="369">
        <f t="shared" si="11"/>
        <v>-3350.8714853663732</v>
      </c>
      <c r="AD45" s="369">
        <f t="shared" si="11"/>
        <v>-3481.5435296613996</v>
      </c>
      <c r="AE45" s="369">
        <f t="shared" si="11"/>
        <v>-3623.6480024538314</v>
      </c>
      <c r="AF45" s="369">
        <f t="shared" si="11"/>
        <v>-3777.8156409062785</v>
      </c>
      <c r="AG45" s="369">
        <f t="shared" si="11"/>
        <v>-2708.1739056899664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137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1" t="s">
        <v>39</v>
      </c>
      <c r="B7" s="7"/>
      <c r="C7" s="315" t="s">
        <v>254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138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139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140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141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142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143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144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49"/>
      <c r="AA17" s="149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145</v>
      </c>
      <c r="B18" s="12"/>
      <c r="C18" s="318">
        <f>Assumptions!C61</f>
        <v>110782.10768585253</v>
      </c>
      <c r="D18" s="18">
        <f>Depreciation!$B$48</f>
        <v>109782.10768585253</v>
      </c>
      <c r="E18" s="18">
        <f>Depreciation!$B$48</f>
        <v>109782.10768585253</v>
      </c>
      <c r="F18" s="18">
        <f>Depreciation!$B$48</f>
        <v>109782.10768585253</v>
      </c>
      <c r="G18" s="18">
        <f>Depreciation!$B$48</f>
        <v>109782.10768585253</v>
      </c>
      <c r="H18" s="18">
        <f>Depreciation!$B$48</f>
        <v>109782.10768585253</v>
      </c>
      <c r="I18" s="18">
        <f>Depreciation!$B$48</f>
        <v>109782.10768585253</v>
      </c>
      <c r="J18" s="18">
        <f>Depreciation!$B$48</f>
        <v>109782.10768585253</v>
      </c>
      <c r="K18" s="18">
        <f>Depreciation!$B$48</f>
        <v>109782.10768585253</v>
      </c>
      <c r="L18" s="18">
        <f>Depreciation!$B$48</f>
        <v>109782.10768585253</v>
      </c>
      <c r="M18" s="18">
        <f>Depreciation!$B$48</f>
        <v>109782.10768585253</v>
      </c>
      <c r="N18" s="18">
        <f>Depreciation!$B$48</f>
        <v>109782.10768585253</v>
      </c>
      <c r="O18" s="18">
        <f>Depreciation!$B$48</f>
        <v>109782.10768585253</v>
      </c>
      <c r="P18" s="18">
        <f>Depreciation!$B$48</f>
        <v>109782.10768585253</v>
      </c>
      <c r="Q18" s="18">
        <f>Depreciation!$B$48</f>
        <v>109782.10768585253</v>
      </c>
      <c r="R18" s="18">
        <f>Depreciation!$B$48</f>
        <v>109782.10768585253</v>
      </c>
      <c r="S18" s="18">
        <f>Depreciation!$B$48</f>
        <v>109782.10768585253</v>
      </c>
      <c r="T18" s="18">
        <f>Depreciation!$B$48</f>
        <v>109782.10768585253</v>
      </c>
      <c r="U18" s="18">
        <f>Depreciation!$B$48</f>
        <v>109782.10768585253</v>
      </c>
      <c r="V18" s="18">
        <f>Depreciation!$B$48</f>
        <v>109782.10768585253</v>
      </c>
      <c r="W18" s="18">
        <f>Depreciation!$B$48</f>
        <v>109782.10768585253</v>
      </c>
      <c r="X18" s="18">
        <f>Depreciation!$B$48</f>
        <v>109782.10768585253</v>
      </c>
      <c r="Y18" s="18">
        <f>Depreciation!$B$48</f>
        <v>109782.10768585253</v>
      </c>
      <c r="Z18" s="18">
        <f>Depreciation!$B$48</f>
        <v>109782.10768585253</v>
      </c>
      <c r="AA18" s="18">
        <f>Depreciation!$B$48</f>
        <v>109782.10768585253</v>
      </c>
      <c r="AB18" s="18">
        <f>Depreciation!$B$48</f>
        <v>109782.10768585253</v>
      </c>
      <c r="AC18" s="18">
        <f>Depreciation!$B$48</f>
        <v>109782.10768585253</v>
      </c>
      <c r="AD18" s="18">
        <f>Depreciation!$B$48</f>
        <v>109782.10768585253</v>
      </c>
      <c r="AE18" s="18">
        <f>Depreciation!$B$48</f>
        <v>109782.10768585253</v>
      </c>
      <c r="AF18" s="18">
        <f>Depreciation!$B$48</f>
        <v>109782.10768585253</v>
      </c>
      <c r="AG18" s="18">
        <f>Depreciation!$B$48</f>
        <v>109782.10768585253</v>
      </c>
      <c r="AH18" s="18">
        <f>Depreciation!$B$48</f>
        <v>109782.10768585253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146</v>
      </c>
      <c r="B19" s="13"/>
      <c r="C19" s="320">
        <v>0</v>
      </c>
      <c r="D19" s="308">
        <f>SUM(Depreciation!$D$48:D48)</f>
        <v>2707.4494870503841</v>
      </c>
      <c r="E19" s="308">
        <f>SUM(Depreciation!$D$48:E48)</f>
        <v>6768.6237176259601</v>
      </c>
      <c r="F19" s="308">
        <f>SUM(Depreciation!$D$48:F48)</f>
        <v>10829.797948201536</v>
      </c>
      <c r="G19" s="308">
        <f>SUM(Depreciation!$D$48:G48)</f>
        <v>14890.972178777112</v>
      </c>
      <c r="H19" s="308">
        <f>SUM(Depreciation!$D$48:H48)</f>
        <v>18952.146409352688</v>
      </c>
      <c r="I19" s="308">
        <f>SUM(Depreciation!$D$48:I48)</f>
        <v>22426.880639928266</v>
      </c>
      <c r="J19" s="308">
        <f>SUM(Depreciation!$D$48:J48)</f>
        <v>25608.394870503842</v>
      </c>
      <c r="K19" s="308">
        <f>SUM(Depreciation!$D$48:K48)</f>
        <v>28789.909101079418</v>
      </c>
      <c r="L19" s="308">
        <f>SUM(Depreciation!$D$48:L48)</f>
        <v>31971.423331654994</v>
      </c>
      <c r="M19" s="308">
        <f>SUM(Depreciation!$D$48:M48)</f>
        <v>35152.937562230567</v>
      </c>
      <c r="N19" s="308">
        <f>SUM(Depreciation!$D$48:N48)</f>
        <v>38334.45179280614</v>
      </c>
      <c r="O19" s="308">
        <f>SUM(Depreciation!$D$48:O48)</f>
        <v>41515.966023381712</v>
      </c>
      <c r="P19" s="308">
        <f>SUM(Depreciation!$D$48:P48)</f>
        <v>44697.480253957285</v>
      </c>
      <c r="Q19" s="308">
        <f>SUM(Depreciation!$D$48:Q48)</f>
        <v>47878.994484532857</v>
      </c>
      <c r="R19" s="308">
        <f>SUM(Depreciation!$D$48:R48)</f>
        <v>51060.50871510843</v>
      </c>
      <c r="S19" s="308">
        <f>SUM(Depreciation!$D$48:S48)</f>
        <v>54242.022945684002</v>
      </c>
      <c r="T19" s="308">
        <f>SUM(Depreciation!$D$48:T48)</f>
        <v>57423.537176259575</v>
      </c>
      <c r="U19" s="308">
        <f>SUM(Depreciation!$D$48:U48)</f>
        <v>60605.051406835148</v>
      </c>
      <c r="V19" s="308">
        <f>SUM(Depreciation!$D$48:V48)</f>
        <v>63786.56563741072</v>
      </c>
      <c r="W19" s="308">
        <f>SUM(Depreciation!$D$48:W48)</f>
        <v>66968.079867986293</v>
      </c>
      <c r="X19" s="308">
        <f>SUM(Depreciation!$D$48:X48)</f>
        <v>70116.260765228537</v>
      </c>
      <c r="Y19" s="308">
        <f>SUM(Depreciation!$D$48:Y48)</f>
        <v>73247.774995804109</v>
      </c>
      <c r="Z19" s="308">
        <f>SUM(Depreciation!$D$48:Z48)</f>
        <v>76379.289226379682</v>
      </c>
      <c r="AA19" s="308">
        <f>SUM(Depreciation!$D$48:AA48)</f>
        <v>79510.803456955255</v>
      </c>
      <c r="AB19" s="308">
        <f>SUM(Depreciation!$D$48:AB48)</f>
        <v>82642.317687530827</v>
      </c>
      <c r="AC19" s="308">
        <f>SUM(Depreciation!$D$48:AC48)</f>
        <v>85773.8319181064</v>
      </c>
      <c r="AD19" s="308">
        <f>SUM(Depreciation!$D$48:AD48)</f>
        <v>88905.346148681972</v>
      </c>
      <c r="AE19" s="308">
        <f>SUM(Depreciation!$D$48:AE48)</f>
        <v>92036.860379257545</v>
      </c>
      <c r="AF19" s="308">
        <f>SUM(Depreciation!$D$48:AF48)</f>
        <v>95168.374609833118</v>
      </c>
      <c r="AG19" s="308">
        <f>SUM(Depreciation!$D$48:AG48)</f>
        <v>98299.88884040869</v>
      </c>
      <c r="AH19" s="308">
        <f>SUM(Depreciation!$D$48:AH48)</f>
        <v>99343.72691726721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147</v>
      </c>
      <c r="B20" s="13"/>
      <c r="C20" s="321">
        <f>C18-C19</f>
        <v>110782.10768585253</v>
      </c>
      <c r="D20" s="23">
        <f>D18-D19</f>
        <v>107074.65819880215</v>
      </c>
      <c r="E20" s="23">
        <f t="shared" ref="E20:AH20" si="2">E18-E19</f>
        <v>103013.48396822657</v>
      </c>
      <c r="F20" s="23">
        <f t="shared" si="2"/>
        <v>98952.309737650998</v>
      </c>
      <c r="G20" s="23">
        <f t="shared" si="2"/>
        <v>94891.135507075422</v>
      </c>
      <c r="H20" s="23">
        <f t="shared" si="2"/>
        <v>90829.961276499846</v>
      </c>
      <c r="I20" s="23">
        <f t="shared" si="2"/>
        <v>87355.227045924272</v>
      </c>
      <c r="J20" s="23">
        <f t="shared" si="2"/>
        <v>84173.712815348699</v>
      </c>
      <c r="K20" s="23">
        <f t="shared" si="2"/>
        <v>80992.198584773112</v>
      </c>
      <c r="L20" s="23">
        <f t="shared" si="2"/>
        <v>77810.68435419754</v>
      </c>
      <c r="M20" s="23">
        <f t="shared" si="2"/>
        <v>74629.170123621967</v>
      </c>
      <c r="N20" s="23">
        <f t="shared" si="2"/>
        <v>71447.655893046394</v>
      </c>
      <c r="O20" s="23">
        <f t="shared" si="2"/>
        <v>68266.141662470822</v>
      </c>
      <c r="P20" s="23">
        <f t="shared" si="2"/>
        <v>65084.627431895249</v>
      </c>
      <c r="Q20" s="23">
        <f t="shared" si="2"/>
        <v>61903.113201319677</v>
      </c>
      <c r="R20" s="23">
        <f t="shared" si="2"/>
        <v>58721.598970744104</v>
      </c>
      <c r="S20" s="23">
        <f t="shared" si="2"/>
        <v>55540.084740168531</v>
      </c>
      <c r="T20" s="23">
        <f t="shared" si="2"/>
        <v>52358.570509592959</v>
      </c>
      <c r="U20" s="23">
        <f t="shared" si="2"/>
        <v>49177.056279017386</v>
      </c>
      <c r="V20" s="23">
        <f t="shared" si="2"/>
        <v>45995.542048441814</v>
      </c>
      <c r="W20" s="23">
        <f t="shared" si="2"/>
        <v>42814.027817866241</v>
      </c>
      <c r="X20" s="23">
        <f t="shared" si="2"/>
        <v>39665.846920623997</v>
      </c>
      <c r="Y20" s="23">
        <f t="shared" si="2"/>
        <v>36534.332690048424</v>
      </c>
      <c r="Z20" s="23">
        <f t="shared" si="2"/>
        <v>33402.818459472852</v>
      </c>
      <c r="AA20" s="23">
        <f t="shared" si="2"/>
        <v>30271.304228897279</v>
      </c>
      <c r="AB20" s="23">
        <f t="shared" si="2"/>
        <v>27139.789998321707</v>
      </c>
      <c r="AC20" s="23">
        <f t="shared" si="2"/>
        <v>24008.275767746134</v>
      </c>
      <c r="AD20" s="23">
        <f t="shared" si="2"/>
        <v>20876.761537170561</v>
      </c>
      <c r="AE20" s="23">
        <f t="shared" si="2"/>
        <v>17745.247306594989</v>
      </c>
      <c r="AF20" s="23">
        <f t="shared" si="2"/>
        <v>14613.733076019416</v>
      </c>
      <c r="AG20" s="23">
        <f t="shared" si="2"/>
        <v>11482.218845443844</v>
      </c>
      <c r="AH20" s="23">
        <f t="shared" si="2"/>
        <v>10438.380768585324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148</v>
      </c>
      <c r="B22" s="13"/>
      <c r="C22" s="318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149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49"/>
      <c r="AA24" s="149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2" t="s">
        <v>150</v>
      </c>
      <c r="B25" s="13"/>
      <c r="C25" s="321">
        <f>SUM(C16,C20,C22,C23)</f>
        <v>111782.10768585253</v>
      </c>
      <c r="D25" s="23">
        <f>SUM(D16,D20,D22,D23)</f>
        <v>108074.65819880215</v>
      </c>
      <c r="E25" s="23">
        <f t="shared" ref="E25:AH25" si="3">SUM(E16,E20,E22,E23)</f>
        <v>104013.48396822657</v>
      </c>
      <c r="F25" s="23">
        <f t="shared" si="3"/>
        <v>99952.309737650998</v>
      </c>
      <c r="G25" s="23">
        <f t="shared" si="3"/>
        <v>95891.135507075422</v>
      </c>
      <c r="H25" s="23">
        <f t="shared" si="3"/>
        <v>91829.961276499846</v>
      </c>
      <c r="I25" s="23">
        <f t="shared" si="3"/>
        <v>88355.227045924272</v>
      </c>
      <c r="J25" s="23">
        <f t="shared" si="3"/>
        <v>85173.712815348699</v>
      </c>
      <c r="K25" s="23">
        <f t="shared" si="3"/>
        <v>81992.198584773112</v>
      </c>
      <c r="L25" s="23">
        <f t="shared" si="3"/>
        <v>78810.68435419754</v>
      </c>
      <c r="M25" s="23">
        <f t="shared" si="3"/>
        <v>75629.170123621967</v>
      </c>
      <c r="N25" s="23">
        <f t="shared" si="3"/>
        <v>72447.655893046394</v>
      </c>
      <c r="O25" s="23">
        <f t="shared" si="3"/>
        <v>69266.141662470822</v>
      </c>
      <c r="P25" s="23">
        <f t="shared" si="3"/>
        <v>66084.627431895249</v>
      </c>
      <c r="Q25" s="23">
        <f t="shared" si="3"/>
        <v>62903.113201319677</v>
      </c>
      <c r="R25" s="23">
        <f t="shared" si="3"/>
        <v>59721.598970744104</v>
      </c>
      <c r="S25" s="23">
        <f t="shared" si="3"/>
        <v>56540.084740168531</v>
      </c>
      <c r="T25" s="23">
        <f t="shared" si="3"/>
        <v>53358.570509592959</v>
      </c>
      <c r="U25" s="23">
        <f t="shared" si="3"/>
        <v>50177.056279017386</v>
      </c>
      <c r="V25" s="23">
        <f t="shared" si="3"/>
        <v>46995.542048441814</v>
      </c>
      <c r="W25" s="23">
        <f t="shared" si="3"/>
        <v>43814.027817866241</v>
      </c>
      <c r="X25" s="23">
        <f t="shared" si="3"/>
        <v>40665.846920623997</v>
      </c>
      <c r="Y25" s="23">
        <f t="shared" si="3"/>
        <v>37534.332690048424</v>
      </c>
      <c r="Z25" s="23">
        <f t="shared" si="3"/>
        <v>34402.818459472852</v>
      </c>
      <c r="AA25" s="23">
        <f t="shared" si="3"/>
        <v>31271.304228897279</v>
      </c>
      <c r="AB25" s="23">
        <f t="shared" si="3"/>
        <v>28139.789998321707</v>
      </c>
      <c r="AC25" s="23">
        <f t="shared" si="3"/>
        <v>25008.275767746134</v>
      </c>
      <c r="AD25" s="23">
        <f t="shared" si="3"/>
        <v>21876.761537170561</v>
      </c>
      <c r="AE25" s="23">
        <f t="shared" si="3"/>
        <v>18745.247306594989</v>
      </c>
      <c r="AF25" s="23">
        <f t="shared" si="3"/>
        <v>15613.733076019416</v>
      </c>
      <c r="AG25" s="23">
        <f t="shared" si="3"/>
        <v>12482.218845443844</v>
      </c>
      <c r="AH25" s="23">
        <f t="shared" si="3"/>
        <v>11438.380768585324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49"/>
      <c r="AA26" s="149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49"/>
      <c r="AA27" s="149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2" t="s">
        <v>151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49"/>
      <c r="AA28" s="149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2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49"/>
      <c r="AA29" s="149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152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153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154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155</v>
      </c>
      <c r="C33" s="318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156</v>
      </c>
      <c r="C34" s="321">
        <f>Assumptions!C11</f>
        <v>91250.396034021513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157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49"/>
      <c r="AA36" s="149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2" t="s">
        <v>158</v>
      </c>
      <c r="B37" s="13"/>
      <c r="C37" s="321">
        <f>SUM(C30:C35)</f>
        <v>91250.396034021513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49"/>
      <c r="AA38" s="149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2" t="s">
        <v>159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49"/>
      <c r="AA39" s="149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2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49"/>
      <c r="AA40" s="149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160</v>
      </c>
      <c r="C41" s="321">
        <f>Assumptions!$C$10</f>
        <v>19531.711651831021</v>
      </c>
      <c r="D41" s="23">
        <f>Assumptions!$C$10</f>
        <v>19531.711651831021</v>
      </c>
      <c r="E41" s="23">
        <f>Assumptions!$C$10</f>
        <v>19531.711651831021</v>
      </c>
      <c r="F41" s="23">
        <f>Assumptions!$C$10</f>
        <v>19531.711651831021</v>
      </c>
      <c r="G41" s="23">
        <f>Assumptions!$C$10</f>
        <v>19531.711651831021</v>
      </c>
      <c r="H41" s="23">
        <f>Assumptions!$C$10</f>
        <v>19531.711651831021</v>
      </c>
      <c r="I41" s="23">
        <f>Assumptions!$C$10</f>
        <v>19531.711651831021</v>
      </c>
      <c r="J41" s="23">
        <f>Assumptions!$C$10</f>
        <v>19531.711651831021</v>
      </c>
      <c r="K41" s="23">
        <f>Assumptions!$C$10</f>
        <v>19531.711651831021</v>
      </c>
      <c r="L41" s="23">
        <f>Assumptions!$C$10</f>
        <v>19531.711651831021</v>
      </c>
      <c r="M41" s="23">
        <f>Assumptions!$C$10</f>
        <v>19531.711651831021</v>
      </c>
      <c r="N41" s="23">
        <f>Assumptions!$C$10</f>
        <v>19531.711651831021</v>
      </c>
      <c r="O41" s="23">
        <f>Assumptions!$C$10</f>
        <v>19531.711651831021</v>
      </c>
      <c r="P41" s="23">
        <f>Assumptions!$C$10</f>
        <v>19531.711651831021</v>
      </c>
      <c r="Q41" s="23">
        <f>Assumptions!$C$10</f>
        <v>19531.711651831021</v>
      </c>
      <c r="R41" s="23">
        <f>Assumptions!$C$10</f>
        <v>19531.711651831021</v>
      </c>
      <c r="S41" s="23">
        <f>Assumptions!$C$10</f>
        <v>19531.711651831021</v>
      </c>
      <c r="T41" s="23">
        <f>Assumptions!$C$10</f>
        <v>19531.711651831021</v>
      </c>
      <c r="U41" s="23">
        <f>Assumptions!$C$10</f>
        <v>19531.711651831021</v>
      </c>
      <c r="V41" s="23">
        <f>Assumptions!$C$10</f>
        <v>19531.711651831021</v>
      </c>
      <c r="W41" s="23">
        <f>Assumptions!$C$10</f>
        <v>19531.711651831021</v>
      </c>
      <c r="X41" s="23">
        <f>Assumptions!$C$10</f>
        <v>19531.711651831021</v>
      </c>
      <c r="Y41" s="23">
        <f>Assumptions!$C$10</f>
        <v>19531.711651831021</v>
      </c>
      <c r="Z41" s="23">
        <f>Assumptions!$C$10</f>
        <v>19531.711651831021</v>
      </c>
      <c r="AA41" s="23">
        <f>Assumptions!$C$10</f>
        <v>19531.711651831021</v>
      </c>
      <c r="AB41" s="23">
        <f>Assumptions!$C$10</f>
        <v>19531.711651831021</v>
      </c>
      <c r="AC41" s="23">
        <f>Assumptions!$C$10</f>
        <v>19531.711651831021</v>
      </c>
      <c r="AD41" s="23">
        <f>Assumptions!$C$10</f>
        <v>19531.711651831021</v>
      </c>
      <c r="AE41" s="23">
        <f>Assumptions!$C$10</f>
        <v>19531.711651831021</v>
      </c>
      <c r="AF41" s="23">
        <f>Assumptions!$C$10</f>
        <v>19531.711651831021</v>
      </c>
      <c r="AG41" s="23">
        <f>Assumptions!$C$10</f>
        <v>19531.711651831021</v>
      </c>
      <c r="AH41" s="23">
        <f>Assumptions!$C$10</f>
        <v>19531.711651831021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161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162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49"/>
      <c r="AA44" s="149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2" t="s">
        <v>163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49"/>
      <c r="AA46" s="149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2" t="s">
        <v>164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49"/>
      <c r="AA48" s="149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49"/>
      <c r="AA49" s="149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49"/>
      <c r="AA50" s="149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49"/>
      <c r="AA51" s="149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49"/>
      <c r="AA52" s="149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49"/>
      <c r="AA53" s="149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49"/>
      <c r="AA54" s="149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49"/>
      <c r="AA55" s="149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49"/>
      <c r="AA56" s="149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49"/>
      <c r="AA57" s="149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49"/>
      <c r="AA58" s="149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49"/>
      <c r="AA59" s="149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49"/>
      <c r="AA60" s="149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49"/>
      <c r="AA61" s="149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49"/>
      <c r="AA62" s="149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49"/>
      <c r="AA63" s="149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49"/>
      <c r="AA64" s="149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49"/>
      <c r="AA65" s="149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49"/>
      <c r="AA66" s="149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49"/>
      <c r="AA67" s="149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49"/>
      <c r="AA68" s="149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49"/>
      <c r="AA69" s="149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49"/>
      <c r="AA70" s="149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49"/>
      <c r="AA71" s="149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49"/>
      <c r="AA72" s="149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49"/>
      <c r="AA73" s="149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49"/>
      <c r="AA74" s="149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49"/>
      <c r="AA75" s="149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49"/>
      <c r="AA76" s="149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49"/>
      <c r="AA77" s="149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49"/>
      <c r="AA78" s="149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49"/>
      <c r="AA79" s="149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49"/>
      <c r="AA80" s="149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49"/>
      <c r="AA81" s="149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49"/>
      <c r="AA82" s="149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49"/>
      <c r="AA83" s="149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49"/>
      <c r="AA84" s="149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49"/>
      <c r="AA85" s="149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49"/>
      <c r="AA86" s="149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49"/>
      <c r="AA87" s="149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49"/>
      <c r="AA88" s="149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49"/>
      <c r="AA89" s="149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49"/>
      <c r="AA90" s="149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S24" zoomScale="75" zoomScaleNormal="75" workbookViewId="0">
      <selection activeCell="W44" sqref="W44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382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1" t="s">
        <v>39</v>
      </c>
      <c r="B7" s="7" t="s">
        <v>254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6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8999.0311824216951</v>
      </c>
      <c r="D11" s="18">
        <f>IS!D32</f>
        <v>13674.64677363255</v>
      </c>
      <c r="E11" s="18">
        <f>IS!E32</f>
        <v>13650.10977363255</v>
      </c>
      <c r="F11" s="18">
        <f>IS!F32</f>
        <v>13624.918263632557</v>
      </c>
      <c r="G11" s="18">
        <f>IS!G32</f>
        <v>13599.054240332553</v>
      </c>
      <c r="H11" s="18">
        <f>IS!H32</f>
        <v>13572.499192973544</v>
      </c>
      <c r="I11" s="18">
        <f>IS!I32</f>
        <v>13545.234088766578</v>
      </c>
      <c r="J11" s="18">
        <f>IS!J32</f>
        <v>13517.239357897659</v>
      </c>
      <c r="K11" s="18">
        <f>IS!K32</f>
        <v>13488.494878096208</v>
      </c>
      <c r="L11" s="18">
        <f>IS!L32</f>
        <v>13458.979958754127</v>
      </c>
      <c r="M11" s="18">
        <f>IS!M32</f>
        <v>13428.673324582258</v>
      </c>
      <c r="N11" s="18">
        <f>IS!N32</f>
        <v>13397.553098790733</v>
      </c>
      <c r="O11" s="18">
        <f>IS!O32</f>
        <v>13365.596785779057</v>
      </c>
      <c r="P11" s="18">
        <f>IS!P32</f>
        <v>13332.781253321704</v>
      </c>
      <c r="Q11" s="18">
        <f>IS!Q32</f>
        <v>13299.082714234199</v>
      </c>
      <c r="R11" s="18">
        <f>IS!R32</f>
        <v>13264.476707504498</v>
      </c>
      <c r="S11" s="18">
        <f>IS!S32</f>
        <v>13282.653563118911</v>
      </c>
      <c r="T11" s="18">
        <f>IS!T32</f>
        <v>13273.014187218992</v>
      </c>
      <c r="U11" s="18">
        <f>IS!U32</f>
        <v>13235.531978512347</v>
      </c>
      <c r="V11" s="18">
        <f>IS!V32</f>
        <v>13197.037322858017</v>
      </c>
      <c r="W11" s="18">
        <f>IS!W32</f>
        <v>3657.8015219324807</v>
      </c>
      <c r="X11" s="18">
        <f>IS!X32</f>
        <v>-1592.2226605651995</v>
      </c>
      <c r="Y11" s="18">
        <f>IS!Y32</f>
        <v>-1633.9266750065653</v>
      </c>
      <c r="Z11" s="18">
        <f>IS!Z32</f>
        <v>-1676.7605565736612</v>
      </c>
      <c r="AA11" s="18">
        <f>IS!AA32</f>
        <v>-1720.7557762141041</v>
      </c>
      <c r="AB11" s="18">
        <f>IS!AB32</f>
        <v>-1765.9447005026268</v>
      </c>
      <c r="AC11" s="18">
        <f>IS!AC32</f>
        <v>-1812.360617539849</v>
      </c>
      <c r="AD11" s="18">
        <f>IS!AD32</f>
        <v>-1860.037763608625</v>
      </c>
      <c r="AE11" s="18">
        <f>IS!AE32</f>
        <v>-1909.0113506103207</v>
      </c>
      <c r="AF11" s="18">
        <f>IS!AF32</f>
        <v>-1959.3175943039314</v>
      </c>
      <c r="AG11" s="18">
        <f>IS!AG32</f>
        <v>-2010.9937433718624</v>
      </c>
    </row>
    <row r="12" spans="1:35">
      <c r="A12" s="45" t="s">
        <v>80</v>
      </c>
      <c r="B12" s="446">
        <v>0</v>
      </c>
      <c r="C12" s="446">
        <f>-(Debt!B36)</f>
        <v>-3153.4787787527357</v>
      </c>
      <c r="D12" s="446">
        <f>-(Debt!B44+Debt!C27+Debt!C36)</f>
        <v>-7365.4401804449444</v>
      </c>
      <c r="E12" s="446">
        <f>-(Debt!C44+Debt!D27+Debt!D36)</f>
        <v>-7104.1169492237168</v>
      </c>
      <c r="F12" s="446">
        <f>-(Debt!D44+Debt!E27+Debt!E36)</f>
        <v>-6823.5085141816562</v>
      </c>
      <c r="G12" s="446">
        <f>-(Debt!E44+Debt!F27+Debt!F36)</f>
        <v>-6505.1051234250981</v>
      </c>
      <c r="H12" s="446">
        <f>-(Debt!F44+Debt!G27+Debt!G36)</f>
        <v>-6177.1589407915981</v>
      </c>
      <c r="I12" s="446">
        <f>-(Debt!G44+Debt!H27+Debt!H36)</f>
        <v>-5818.1909072622038</v>
      </c>
      <c r="J12" s="446">
        <f>-(Debt!H44+Debt!I27+Debt!I36)</f>
        <v>-5435.1295266234338</v>
      </c>
      <c r="K12" s="446">
        <f>-(Debt!I44+Debt!J27+Debt!J36)</f>
        <v>-5008.8116900202613</v>
      </c>
      <c r="L12" s="446">
        <f>-(Debt!J44+Debt!K27+Debt!K36)</f>
        <v>-4560.9910265087728</v>
      </c>
      <c r="M12" s="446">
        <f>-(Debt!K44+Debt!L27+Debt!L36)</f>
        <v>-4073.2921054168733</v>
      </c>
      <c r="N12" s="446">
        <f>-(Debt!L44+Debt!M27+Debt!M36)</f>
        <v>-3549.5425472524194</v>
      </c>
      <c r="O12" s="446">
        <f>-(Debt!M44+Debt!N27+Debt!N36)</f>
        <v>-2974.9426528301301</v>
      </c>
      <c r="P12" s="446">
        <f>-(Debt!N44+Debt!O27+Debt!O36)</f>
        <v>-2362.4076006491614</v>
      </c>
      <c r="Q12" s="446">
        <f>-(Debt!O44+Debt!P27+Debt!P36)</f>
        <v>-1697.7587915284839</v>
      </c>
      <c r="R12" s="446">
        <f>-(Debt!P44+Debt!Q27+Debt!Q36)</f>
        <v>-980.58937360019263</v>
      </c>
      <c r="S12" s="446">
        <f>-(Debt!Q44+Debt!R27+Debt!R36)</f>
        <v>-201.38262742951949</v>
      </c>
      <c r="T12" s="446">
        <f>-(Debt!R44+Debt!S27+Debt!S36)</f>
        <v>0</v>
      </c>
      <c r="U12" s="446">
        <f>-(Debt!S44+Debt!T27+Debt!T36)</f>
        <v>0</v>
      </c>
      <c r="V12" s="446">
        <f>-(Debt!T44+Debt!U27+Debt!U36)</f>
        <v>0</v>
      </c>
      <c r="W12" s="446">
        <f>-(Debt!U44+Debt!V27+Debt!V36)</f>
        <v>0</v>
      </c>
      <c r="X12" s="446">
        <f>-(Debt!V44+Debt!W27+Debt!W36)</f>
        <v>-4.5071768172951687</v>
      </c>
      <c r="Y12" s="446">
        <f>-(Debt!W44+Debt!X27+Debt!X36)</f>
        <v>-44.558268513390111</v>
      </c>
      <c r="Z12" s="446">
        <f>-(Debt!X44+Debt!Y27+Debt!Y36)</f>
        <v>-154.17819959676592</v>
      </c>
      <c r="AA12" s="446">
        <f>-(Debt!Y44+Debt!Z27+Debt!Z36)</f>
        <v>-275.61694409818097</v>
      </c>
      <c r="AB12" s="446">
        <f>-(Debt!Z44+Debt!AA27+Debt!AA36)</f>
        <v>-410.39910117724042</v>
      </c>
      <c r="AC12" s="446">
        <f>-(Debt!AA44+Debt!AB27+Debt!AB36)</f>
        <v>-559.34016209821493</v>
      </c>
      <c r="AD12" s="446">
        <f>-(Debt!AB44+Debt!AC27+Debt!AC36)</f>
        <v>-724.25125399749641</v>
      </c>
      <c r="AE12" s="446">
        <f>-(Debt!AC44+Debt!AD27+Debt!AD36)</f>
        <v>-904.74498569051082</v>
      </c>
      <c r="AF12" s="446">
        <f>-(Debt!AD44+Debt!AE27+Debt!AE36)</f>
        <v>-1105.1239584733191</v>
      </c>
      <c r="AG12" s="446">
        <f>-(Debt!AE44+Debt!AF27+Debt!AF36)</f>
        <v>-746.80004752722436</v>
      </c>
      <c r="AH12" s="13"/>
      <c r="AI12" s="13"/>
    </row>
    <row r="13" spans="1:35">
      <c r="A13" s="45" t="s">
        <v>354</v>
      </c>
      <c r="B13" s="64">
        <f>SUM(B11:B12)</f>
        <v>0</v>
      </c>
      <c r="C13" s="64">
        <f t="shared" ref="C13:AG13" si="0">SUM(C11:C12)</f>
        <v>5845.5524036689594</v>
      </c>
      <c r="D13" s="64">
        <f t="shared" si="0"/>
        <v>6309.2065931876059</v>
      </c>
      <c r="E13" s="64">
        <f t="shared" si="0"/>
        <v>6545.9928244088333</v>
      </c>
      <c r="F13" s="64">
        <f t="shared" si="0"/>
        <v>6801.4097494509006</v>
      </c>
      <c r="G13" s="64">
        <f t="shared" si="0"/>
        <v>7093.9491169074545</v>
      </c>
      <c r="H13" s="64">
        <f t="shared" si="0"/>
        <v>7395.3402521819462</v>
      </c>
      <c r="I13" s="64">
        <f t="shared" si="0"/>
        <v>7727.0431815043739</v>
      </c>
      <c r="J13" s="64">
        <f t="shared" si="0"/>
        <v>8082.1098312742251</v>
      </c>
      <c r="K13" s="64">
        <f t="shared" si="0"/>
        <v>8479.6831880759455</v>
      </c>
      <c r="L13" s="64">
        <f t="shared" si="0"/>
        <v>8897.9889322453546</v>
      </c>
      <c r="M13" s="64">
        <f t="shared" si="0"/>
        <v>9355.3812191653851</v>
      </c>
      <c r="N13" s="64">
        <f t="shared" si="0"/>
        <v>9848.0105515383148</v>
      </c>
      <c r="O13" s="64">
        <f t="shared" si="0"/>
        <v>10390.654132948926</v>
      </c>
      <c r="P13" s="64">
        <f t="shared" si="0"/>
        <v>10970.373652672542</v>
      </c>
      <c r="Q13" s="64">
        <f t="shared" si="0"/>
        <v>11601.323922705715</v>
      </c>
      <c r="R13" s="64">
        <f t="shared" si="0"/>
        <v>12283.887333904306</v>
      </c>
      <c r="S13" s="64">
        <f t="shared" si="0"/>
        <v>13081.270935689392</v>
      </c>
      <c r="T13" s="64">
        <f t="shared" si="0"/>
        <v>13273.014187218992</v>
      </c>
      <c r="U13" s="64">
        <f t="shared" si="0"/>
        <v>13235.531978512347</v>
      </c>
      <c r="V13" s="64">
        <f t="shared" si="0"/>
        <v>13197.037322858017</v>
      </c>
      <c r="W13" s="64">
        <f t="shared" si="0"/>
        <v>3657.8015219324807</v>
      </c>
      <c r="X13" s="64">
        <f t="shared" si="0"/>
        <v>-1596.7298373824947</v>
      </c>
      <c r="Y13" s="64">
        <f t="shared" si="0"/>
        <v>-1678.4849435199556</v>
      </c>
      <c r="Z13" s="64">
        <f t="shared" si="0"/>
        <v>-1830.938756170427</v>
      </c>
      <c r="AA13" s="64">
        <f t="shared" si="0"/>
        <v>-1996.3727203122851</v>
      </c>
      <c r="AB13" s="64">
        <f t="shared" si="0"/>
        <v>-2176.3438016798673</v>
      </c>
      <c r="AC13" s="64">
        <f t="shared" si="0"/>
        <v>-2371.700779638064</v>
      </c>
      <c r="AD13" s="64">
        <f t="shared" si="0"/>
        <v>-2584.2890176061214</v>
      </c>
      <c r="AE13" s="64">
        <f t="shared" si="0"/>
        <v>-2813.7563363008317</v>
      </c>
      <c r="AF13" s="64">
        <f t="shared" si="0"/>
        <v>-3064.4415527772508</v>
      </c>
      <c r="AG13" s="64">
        <f t="shared" si="0"/>
        <v>-2757.7937908990866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355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-13.673565276239174</v>
      </c>
      <c r="N15" s="18">
        <f>-Taxes!M24-Taxes!M41</f>
        <v>-1491.1496321261616</v>
      </c>
      <c r="O15" s="18">
        <f>-Taxes!N24-Taxes!N41</f>
        <v>-1712.5709627640404</v>
      </c>
      <c r="P15" s="18">
        <f>-Taxes!O24-Taxes!O41</f>
        <v>-1943.3996216215371</v>
      </c>
      <c r="Q15" s="18">
        <f>-Taxes!P24-Taxes!P41</f>
        <v>-2202.2661507622715</v>
      </c>
      <c r="R15" s="18">
        <f>-Taxes!Q24-Taxes!Q41</f>
        <v>-3695.8763811328986</v>
      </c>
      <c r="S15" s="18">
        <f>-Taxes!R24-Taxes!R41</f>
        <v>-5193.6365916440282</v>
      </c>
      <c r="T15" s="18">
        <f>-Taxes!S24-Taxes!S41</f>
        <v>-5229.7021110451115</v>
      </c>
      <c r="U15" s="18">
        <f>-Taxes!T24-Taxes!T41</f>
        <v>-5214.877897501633</v>
      </c>
      <c r="V15" s="18">
        <f>-Taxes!U24-Taxes!U41</f>
        <v>-5199.6532611903449</v>
      </c>
      <c r="W15" s="18">
        <f>-Taxes!V24-Taxes!V41</f>
        <v>-1440.0688352576296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-1187.1636263876135</v>
      </c>
      <c r="D16" s="23">
        <f>-Debt!C48</f>
        <v>-3112.673152158095</v>
      </c>
      <c r="E16" s="23">
        <f>-Debt!D48</f>
        <v>-3400.673218059499</v>
      </c>
      <c r="F16" s="23">
        <f>-Debt!E48</f>
        <v>-3669.1684298130276</v>
      </c>
      <c r="G16" s="23">
        <f>-Debt!F48</f>
        <v>-3953.5267154623289</v>
      </c>
      <c r="H16" s="23">
        <f>-Debt!G48</f>
        <v>-4268.3178026120149</v>
      </c>
      <c r="I16" s="23">
        <f>-Debt!H48</f>
        <v>-4606.448854345057</v>
      </c>
      <c r="J16" s="23">
        <f>-Debt!I48</f>
        <v>-4975.1986710735291</v>
      </c>
      <c r="K16" s="23">
        <f>-Debt!J48</f>
        <v>-5365.3833247353978</v>
      </c>
      <c r="L16" s="23">
        <f>-Debt!K48</f>
        <v>-5797.7308757154387</v>
      </c>
      <c r="M16" s="23">
        <f>-Debt!L48</f>
        <v>-6262.2688370112883</v>
      </c>
      <c r="N16" s="23">
        <f>-Debt!M48</f>
        <v>-6769.2559927100083</v>
      </c>
      <c r="O16" s="23">
        <f>-Debt!N48</f>
        <v>-7305.3940504088387</v>
      </c>
      <c r="P16" s="23">
        <f>-Debt!O48</f>
        <v>-7899.8713686154151</v>
      </c>
      <c r="Q16" s="23">
        <f>-Debt!P48</f>
        <v>-8538.7675683291473</v>
      </c>
      <c r="R16" s="23">
        <f>-Debt!Q48</f>
        <v>-9236.4414865865328</v>
      </c>
      <c r="S16" s="23">
        <f>-Debt!R48</f>
        <v>-4902.1120599982796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222.43988598275126</v>
      </c>
      <c r="Y16" s="23">
        <f>-Debt!X48</f>
        <v>1293.426911428526</v>
      </c>
      <c r="Z16" s="23">
        <f>-Debt!Y48</f>
        <v>1436.6579033047237</v>
      </c>
      <c r="AA16" s="23">
        <f>-Debt!Z48</f>
        <v>1589.9591861386921</v>
      </c>
      <c r="AB16" s="23">
        <f>-Debt!AA48</f>
        <v>1760.1517325222421</v>
      </c>
      <c r="AC16" s="23">
        <f>-Debt!AB48</f>
        <v>1944.5620313324762</v>
      </c>
      <c r="AD16" s="23">
        <f>-Debt!AC48</f>
        <v>2146.8806150735654</v>
      </c>
      <c r="AE16" s="23">
        <f>-Debt!AD48</f>
        <v>2362.8484169864169</v>
      </c>
      <c r="AF16" s="23">
        <f>-Debt!AE48</f>
        <v>2602.6435659439558</v>
      </c>
      <c r="AG16" s="23">
        <f>-Debt!AF48</f>
        <v>2669.4778502930531</v>
      </c>
    </row>
    <row r="17" spans="1:33">
      <c r="A17" s="45" t="s">
        <v>356</v>
      </c>
      <c r="B17" s="447">
        <v>0</v>
      </c>
      <c r="C17" s="447">
        <v>0</v>
      </c>
      <c r="D17" s="447">
        <v>0</v>
      </c>
      <c r="E17" s="447">
        <v>0</v>
      </c>
      <c r="F17" s="447">
        <v>0</v>
      </c>
      <c r="G17" s="447">
        <v>0</v>
      </c>
      <c r="H17" s="447">
        <v>0</v>
      </c>
      <c r="I17" s="447">
        <v>0</v>
      </c>
      <c r="J17" s="447">
        <v>0</v>
      </c>
      <c r="K17" s="447">
        <v>0</v>
      </c>
      <c r="L17" s="447">
        <v>0</v>
      </c>
      <c r="M17" s="447">
        <v>0</v>
      </c>
      <c r="N17" s="447">
        <v>0</v>
      </c>
      <c r="O17" s="447">
        <v>0</v>
      </c>
      <c r="P17" s="447">
        <v>0</v>
      </c>
      <c r="Q17" s="447">
        <v>0</v>
      </c>
      <c r="R17" s="447">
        <v>0</v>
      </c>
      <c r="S17" s="447">
        <v>0</v>
      </c>
      <c r="T17" s="447">
        <v>0</v>
      </c>
      <c r="U17" s="447">
        <v>0</v>
      </c>
      <c r="V17" s="447">
        <v>0</v>
      </c>
      <c r="W17" s="447">
        <v>0</v>
      </c>
      <c r="X17" s="447">
        <v>0</v>
      </c>
      <c r="Y17" s="447">
        <v>0</v>
      </c>
      <c r="Z17" s="447">
        <v>0</v>
      </c>
      <c r="AA17" s="447">
        <v>0</v>
      </c>
      <c r="AB17" s="447">
        <v>0</v>
      </c>
      <c r="AC17" s="447">
        <v>0</v>
      </c>
      <c r="AD17" s="447">
        <v>0</v>
      </c>
      <c r="AE17" s="447">
        <v>0</v>
      </c>
      <c r="AF17" s="447">
        <v>0</v>
      </c>
      <c r="AG17" s="447">
        <v>0</v>
      </c>
    </row>
    <row r="18" spans="1:33">
      <c r="A18" s="45" t="s">
        <v>357</v>
      </c>
      <c r="B18" s="64">
        <f>B13+B17+B16+B15</f>
        <v>0</v>
      </c>
      <c r="C18" s="64">
        <f t="shared" ref="C18:AG18" si="1">C13+C17+C16+C15</f>
        <v>4658.3887772813459</v>
      </c>
      <c r="D18" s="64">
        <f t="shared" si="1"/>
        <v>3196.5334410295109</v>
      </c>
      <c r="E18" s="64">
        <f t="shared" si="1"/>
        <v>3145.3196063493342</v>
      </c>
      <c r="F18" s="64">
        <f t="shared" si="1"/>
        <v>3132.2413196378729</v>
      </c>
      <c r="G18" s="64">
        <f t="shared" si="1"/>
        <v>3140.4224014451256</v>
      </c>
      <c r="H18" s="64">
        <f t="shared" si="1"/>
        <v>3127.0224495699313</v>
      </c>
      <c r="I18" s="64">
        <f t="shared" si="1"/>
        <v>3120.5943271593169</v>
      </c>
      <c r="J18" s="64">
        <f t="shared" si="1"/>
        <v>3106.911160200696</v>
      </c>
      <c r="K18" s="64">
        <f t="shared" si="1"/>
        <v>3114.2998633405477</v>
      </c>
      <c r="L18" s="64">
        <f t="shared" si="1"/>
        <v>3100.2580565299158</v>
      </c>
      <c r="M18" s="64">
        <f t="shared" si="1"/>
        <v>3079.4388168778578</v>
      </c>
      <c r="N18" s="64">
        <f t="shared" si="1"/>
        <v>1587.6049267021449</v>
      </c>
      <c r="O18" s="64">
        <f t="shared" si="1"/>
        <v>1372.6891197760474</v>
      </c>
      <c r="P18" s="64">
        <f t="shared" si="1"/>
        <v>1127.1026624355902</v>
      </c>
      <c r="Q18" s="64">
        <f t="shared" si="1"/>
        <v>860.29020361429593</v>
      </c>
      <c r="R18" s="64">
        <f t="shared" si="1"/>
        <v>-648.43053381512573</v>
      </c>
      <c r="S18" s="64">
        <f t="shared" si="1"/>
        <v>2985.5222840470842</v>
      </c>
      <c r="T18" s="64">
        <f t="shared" si="1"/>
        <v>8043.312076173881</v>
      </c>
      <c r="U18" s="64">
        <f t="shared" si="1"/>
        <v>8020.6540810107135</v>
      </c>
      <c r="V18" s="64">
        <f t="shared" si="1"/>
        <v>7997.3840616676725</v>
      </c>
      <c r="W18" s="64">
        <f t="shared" si="1"/>
        <v>2217.7326866748508</v>
      </c>
      <c r="X18" s="64">
        <f t="shared" si="1"/>
        <v>-1374.2899513997434</v>
      </c>
      <c r="Y18" s="64">
        <f t="shared" si="1"/>
        <v>-385.0580320914296</v>
      </c>
      <c r="Z18" s="64">
        <f t="shared" si="1"/>
        <v>-394.28085286570331</v>
      </c>
      <c r="AA18" s="64">
        <f t="shared" si="1"/>
        <v>-406.41353417359301</v>
      </c>
      <c r="AB18" s="64">
        <f t="shared" si="1"/>
        <v>-416.19206915762516</v>
      </c>
      <c r="AC18" s="64">
        <f t="shared" si="1"/>
        <v>-427.1387483055878</v>
      </c>
      <c r="AD18" s="64">
        <f t="shared" si="1"/>
        <v>-437.40840253255601</v>
      </c>
      <c r="AE18" s="64">
        <f t="shared" si="1"/>
        <v>-450.90791931441481</v>
      </c>
      <c r="AF18" s="64">
        <f t="shared" si="1"/>
        <v>-461.797986833295</v>
      </c>
      <c r="AG18" s="64">
        <f t="shared" si="1"/>
        <v>-88.315940606033564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8" t="s">
        <v>407</v>
      </c>
      <c r="B20" s="519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4658.3887772813459</v>
      </c>
      <c r="D21" s="64">
        <f t="shared" si="2"/>
        <v>3196.5334410295109</v>
      </c>
      <c r="E21" s="64">
        <f t="shared" si="2"/>
        <v>3145.3196063493342</v>
      </c>
      <c r="F21" s="64">
        <f t="shared" si="2"/>
        <v>3132.2413196378729</v>
      </c>
      <c r="G21" s="64">
        <f t="shared" si="2"/>
        <v>3140.4224014451256</v>
      </c>
      <c r="H21" s="64">
        <f t="shared" si="2"/>
        <v>3127.0224495699313</v>
      </c>
      <c r="I21" s="64">
        <f t="shared" si="2"/>
        <v>3120.5943271593169</v>
      </c>
      <c r="J21" s="64">
        <f t="shared" si="2"/>
        <v>3106.911160200696</v>
      </c>
      <c r="K21" s="64">
        <f t="shared" si="2"/>
        <v>3114.2998633405477</v>
      </c>
      <c r="L21" s="64">
        <f t="shared" si="2"/>
        <v>3100.2580565299158</v>
      </c>
      <c r="M21" s="64">
        <f t="shared" si="2"/>
        <v>3079.4388168778578</v>
      </c>
      <c r="N21" s="64">
        <f t="shared" si="2"/>
        <v>1587.6049267021449</v>
      </c>
      <c r="O21" s="64">
        <f t="shared" si="2"/>
        <v>1372.6891197760474</v>
      </c>
      <c r="P21" s="64">
        <f t="shared" si="2"/>
        <v>1127.1026624355902</v>
      </c>
      <c r="Q21" s="64">
        <f t="shared" si="2"/>
        <v>860.29020361429593</v>
      </c>
      <c r="R21" s="64">
        <f t="shared" si="2"/>
        <v>-648.43053381512573</v>
      </c>
      <c r="S21" s="64">
        <f t="shared" si="2"/>
        <v>2985.5222840470842</v>
      </c>
      <c r="T21" s="64">
        <f t="shared" si="2"/>
        <v>8043.312076173881</v>
      </c>
      <c r="U21" s="64">
        <f t="shared" si="2"/>
        <v>8020.6540810107135</v>
      </c>
      <c r="V21" s="64">
        <f t="shared" si="2"/>
        <v>7997.3840616676725</v>
      </c>
      <c r="W21" s="64">
        <f t="shared" si="2"/>
        <v>2217.7326866748508</v>
      </c>
      <c r="X21" s="64">
        <f t="shared" si="2"/>
        <v>-1374.2899513997434</v>
      </c>
      <c r="Y21" s="64">
        <f t="shared" si="2"/>
        <v>-385.0580320914296</v>
      </c>
      <c r="Z21" s="64">
        <f t="shared" si="2"/>
        <v>-394.28085286570331</v>
      </c>
      <c r="AA21" s="64">
        <f t="shared" si="2"/>
        <v>-406.41353417359301</v>
      </c>
      <c r="AB21" s="64">
        <f t="shared" si="2"/>
        <v>-416.19206915762516</v>
      </c>
      <c r="AC21" s="64">
        <f t="shared" si="2"/>
        <v>-427.1387483055878</v>
      </c>
      <c r="AD21" s="64">
        <f t="shared" si="2"/>
        <v>-437.40840253255601</v>
      </c>
      <c r="AE21" s="64">
        <f t="shared" si="2"/>
        <v>-450.90791931441481</v>
      </c>
      <c r="AF21" s="64">
        <f t="shared" si="2"/>
        <v>-461.797986833295</v>
      </c>
      <c r="AG21" s="64">
        <f t="shared" si="2"/>
        <v>-88.315940606033564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>
      <c r="A24" s="449" t="s">
        <v>364</v>
      </c>
      <c r="B24" s="455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-Assumptions!C10</f>
        <v>-19531.711651831021</v>
      </c>
      <c r="C25" s="18">
        <f t="shared" ref="C25:V25" si="3">+B29</f>
        <v>-19531.711651831021</v>
      </c>
      <c r="D25" s="18">
        <f t="shared" si="3"/>
        <v>-17607.762505806018</v>
      </c>
      <c r="E25" s="18">
        <f t="shared" si="3"/>
        <v>-16876.315815589351</v>
      </c>
      <c r="F25" s="18">
        <f t="shared" si="3"/>
        <v>-16093.680423422526</v>
      </c>
      <c r="G25" s="18">
        <f t="shared" si="3"/>
        <v>-15214.554363063806</v>
      </c>
      <c r="H25" s="18">
        <f t="shared" si="3"/>
        <v>-14204.169572447612</v>
      </c>
      <c r="I25" s="18">
        <f t="shared" si="3"/>
        <v>-13065.730863020346</v>
      </c>
      <c r="J25" s="18">
        <f t="shared" si="3"/>
        <v>-11774.338856683878</v>
      </c>
      <c r="K25" s="18">
        <f t="shared" si="3"/>
        <v>-10315.835136418926</v>
      </c>
      <c r="L25" s="18">
        <f t="shared" si="3"/>
        <v>-8645.7521921770276</v>
      </c>
      <c r="M25" s="18">
        <f t="shared" si="3"/>
        <v>-6755.8994425518958</v>
      </c>
      <c r="N25" s="18">
        <f t="shared" si="3"/>
        <v>-4622.2865476313036</v>
      </c>
      <c r="O25" s="18">
        <f t="shared" si="3"/>
        <v>-3681.8017375975414</v>
      </c>
      <c r="P25" s="18">
        <f t="shared" si="3"/>
        <v>-2824.5648610851499</v>
      </c>
      <c r="Q25" s="18">
        <f t="shared" si="3"/>
        <v>-2092.901279201481</v>
      </c>
      <c r="R25" s="18">
        <f t="shared" si="3"/>
        <v>-1525.6172546753924</v>
      </c>
      <c r="S25" s="18">
        <f t="shared" si="3"/>
        <v>-1525.6172546753924</v>
      </c>
      <c r="T25" s="18">
        <f t="shared" si="3"/>
        <v>1246.3186137171369</v>
      </c>
      <c r="U25" s="18">
        <f t="shared" si="3"/>
        <v>9464.115295811418</v>
      </c>
      <c r="V25" s="18">
        <f t="shared" si="3"/>
        <v>18809.74551823573</v>
      </c>
      <c r="W25" s="18">
        <f t="shared" ref="W25:AG25" si="4">+V29</f>
        <v>29440.493952456403</v>
      </c>
      <c r="X25" s="18">
        <f t="shared" si="4"/>
        <v>35779.895792475152</v>
      </c>
      <c r="Y25" s="18">
        <f t="shared" si="4"/>
        <v>39414.791252021932</v>
      </c>
      <c r="Z25" s="18">
        <f t="shared" si="4"/>
        <v>44547.803995213573</v>
      </c>
      <c r="AA25" s="18">
        <f t="shared" si="4"/>
        <v>50390.215701677771</v>
      </c>
      <c r="AB25" s="18">
        <f t="shared" si="4"/>
        <v>57038.432365739063</v>
      </c>
      <c r="AC25" s="18">
        <f t="shared" si="4"/>
        <v>64607.620827784907</v>
      </c>
      <c r="AD25" s="18">
        <f t="shared" si="4"/>
        <v>73225.548995369201</v>
      </c>
      <c r="AE25" s="18">
        <f t="shared" si="4"/>
        <v>83039.717452188343</v>
      </c>
      <c r="AF25" s="18">
        <f t="shared" si="4"/>
        <v>94214.3699761803</v>
      </c>
      <c r="AG25" s="18">
        <f t="shared" si="4"/>
        <v>106942.58378601226</v>
      </c>
    </row>
    <row r="26" spans="1:33">
      <c r="A26" s="45" t="s">
        <v>363</v>
      </c>
      <c r="B26" s="18">
        <v>0</v>
      </c>
      <c r="C26" s="18">
        <f>+-B25*$B$24</f>
        <v>2734.4396312563431</v>
      </c>
      <c r="D26" s="18">
        <f t="shared" ref="D26:V26" si="5">+-D25*$B$24</f>
        <v>2465.0867508128426</v>
      </c>
      <c r="E26" s="18">
        <f t="shared" si="5"/>
        <v>2362.6842141825091</v>
      </c>
      <c r="F26" s="18">
        <f t="shared" si="5"/>
        <v>2253.1152592791536</v>
      </c>
      <c r="G26" s="18">
        <f t="shared" si="5"/>
        <v>2130.0376108289329</v>
      </c>
      <c r="H26" s="18">
        <f t="shared" si="5"/>
        <v>1988.5837401426659</v>
      </c>
      <c r="I26" s="18">
        <f t="shared" si="5"/>
        <v>1829.2023208228486</v>
      </c>
      <c r="J26" s="18">
        <f t="shared" si="5"/>
        <v>1648.4074399357432</v>
      </c>
      <c r="K26" s="18">
        <f t="shared" si="5"/>
        <v>1444.2169190986497</v>
      </c>
      <c r="L26" s="18">
        <f t="shared" si="5"/>
        <v>1210.4053069047841</v>
      </c>
      <c r="M26" s="18">
        <f t="shared" si="5"/>
        <v>945.82592195726556</v>
      </c>
      <c r="N26" s="18">
        <f t="shared" si="5"/>
        <v>647.12011666838259</v>
      </c>
      <c r="O26" s="18">
        <f t="shared" si="5"/>
        <v>515.45224326365587</v>
      </c>
      <c r="P26" s="18">
        <f t="shared" si="5"/>
        <v>395.43908055192105</v>
      </c>
      <c r="Q26" s="18">
        <f t="shared" si="5"/>
        <v>293.00617908820738</v>
      </c>
      <c r="R26" s="18">
        <f t="shared" si="5"/>
        <v>213.58641565455494</v>
      </c>
      <c r="S26" s="18">
        <f t="shared" si="5"/>
        <v>213.58641565455494</v>
      </c>
      <c r="T26" s="18">
        <f t="shared" si="5"/>
        <v>-174.48460592039919</v>
      </c>
      <c r="U26" s="18">
        <f t="shared" si="5"/>
        <v>-1324.9761414135987</v>
      </c>
      <c r="V26" s="18">
        <f t="shared" si="5"/>
        <v>-2633.3643725530023</v>
      </c>
      <c r="W26" s="18">
        <f t="shared" ref="W26:AG26" si="6">+-W25*$B$24</f>
        <v>-4121.6691533438971</v>
      </c>
      <c r="X26" s="18">
        <f t="shared" si="6"/>
        <v>-5009.1854109465221</v>
      </c>
      <c r="Y26" s="18">
        <f t="shared" si="6"/>
        <v>-5518.0707752830713</v>
      </c>
      <c r="Z26" s="18">
        <f t="shared" si="6"/>
        <v>-6236.6925593299011</v>
      </c>
      <c r="AA26" s="18">
        <f t="shared" si="6"/>
        <v>-7054.6301982348887</v>
      </c>
      <c r="AB26" s="18">
        <f t="shared" si="6"/>
        <v>-7985.3805312034692</v>
      </c>
      <c r="AC26" s="18">
        <f t="shared" si="6"/>
        <v>-9045.0669158898872</v>
      </c>
      <c r="AD26" s="18">
        <f t="shared" si="6"/>
        <v>-10251.57685935169</v>
      </c>
      <c r="AE26" s="18">
        <f t="shared" si="6"/>
        <v>-11625.560443306369</v>
      </c>
      <c r="AF26" s="18">
        <f t="shared" si="6"/>
        <v>-13190.011796665243</v>
      </c>
      <c r="AG26" s="18">
        <f t="shared" si="6"/>
        <v>-14971.961730041718</v>
      </c>
    </row>
    <row r="27" spans="1:33">
      <c r="A27" s="45" t="s">
        <v>359</v>
      </c>
      <c r="B27" s="18">
        <f>B21</f>
        <v>0</v>
      </c>
      <c r="C27" s="18">
        <f t="shared" ref="C27:AG27" si="7">C21</f>
        <v>4658.3887772813459</v>
      </c>
      <c r="D27" s="18">
        <f t="shared" si="7"/>
        <v>3196.5334410295109</v>
      </c>
      <c r="E27" s="18">
        <f t="shared" si="7"/>
        <v>3145.3196063493342</v>
      </c>
      <c r="F27" s="18">
        <f t="shared" si="7"/>
        <v>3132.2413196378729</v>
      </c>
      <c r="G27" s="18">
        <f t="shared" si="7"/>
        <v>3140.4224014451256</v>
      </c>
      <c r="H27" s="18">
        <f t="shared" si="7"/>
        <v>3127.0224495699313</v>
      </c>
      <c r="I27" s="18">
        <f t="shared" si="7"/>
        <v>3120.5943271593169</v>
      </c>
      <c r="J27" s="18">
        <f t="shared" si="7"/>
        <v>3106.911160200696</v>
      </c>
      <c r="K27" s="18">
        <f t="shared" si="7"/>
        <v>3114.2998633405477</v>
      </c>
      <c r="L27" s="18">
        <f t="shared" si="7"/>
        <v>3100.2580565299158</v>
      </c>
      <c r="M27" s="18">
        <f t="shared" si="7"/>
        <v>3079.4388168778578</v>
      </c>
      <c r="N27" s="18">
        <f t="shared" si="7"/>
        <v>1587.6049267021449</v>
      </c>
      <c r="O27" s="18">
        <f t="shared" si="7"/>
        <v>1372.6891197760474</v>
      </c>
      <c r="P27" s="18">
        <f t="shared" si="7"/>
        <v>1127.1026624355902</v>
      </c>
      <c r="Q27" s="18">
        <f t="shared" si="7"/>
        <v>860.29020361429593</v>
      </c>
      <c r="R27" s="18">
        <f t="shared" si="7"/>
        <v>-648.43053381512573</v>
      </c>
      <c r="S27" s="18">
        <f t="shared" si="7"/>
        <v>2985.5222840470842</v>
      </c>
      <c r="T27" s="18">
        <f t="shared" si="7"/>
        <v>8043.312076173881</v>
      </c>
      <c r="U27" s="18">
        <f t="shared" si="7"/>
        <v>8020.6540810107135</v>
      </c>
      <c r="V27" s="18">
        <f t="shared" si="7"/>
        <v>7997.3840616676725</v>
      </c>
      <c r="W27" s="18">
        <f t="shared" si="7"/>
        <v>2217.7326866748508</v>
      </c>
      <c r="X27" s="18">
        <f t="shared" si="7"/>
        <v>-1374.2899513997434</v>
      </c>
      <c r="Y27" s="18">
        <f t="shared" si="7"/>
        <v>-385.0580320914296</v>
      </c>
      <c r="Z27" s="18">
        <f t="shared" si="7"/>
        <v>-394.28085286570331</v>
      </c>
      <c r="AA27" s="18">
        <f t="shared" si="7"/>
        <v>-406.41353417359301</v>
      </c>
      <c r="AB27" s="18">
        <f t="shared" si="7"/>
        <v>-416.19206915762516</v>
      </c>
      <c r="AC27" s="18">
        <f t="shared" si="7"/>
        <v>-427.1387483055878</v>
      </c>
      <c r="AD27" s="18">
        <f t="shared" si="7"/>
        <v>-437.40840253255601</v>
      </c>
      <c r="AE27" s="18">
        <f t="shared" si="7"/>
        <v>-450.90791931441481</v>
      </c>
      <c r="AF27" s="18">
        <f t="shared" si="7"/>
        <v>-461.797986833295</v>
      </c>
      <c r="AG27" s="18">
        <f t="shared" si="7"/>
        <v>-88.315940606033564</v>
      </c>
    </row>
    <row r="28" spans="1:33">
      <c r="A28" s="45" t="s">
        <v>362</v>
      </c>
      <c r="B28" s="309">
        <v>0</v>
      </c>
      <c r="C28" s="309">
        <f t="shared" ref="C28:V28" si="8">+IF(C27&gt;C26,C27-C26,0)</f>
        <v>1923.9491460250028</v>
      </c>
      <c r="D28" s="309">
        <f t="shared" si="8"/>
        <v>731.44669021666823</v>
      </c>
      <c r="E28" s="309">
        <f t="shared" si="8"/>
        <v>782.63539216682511</v>
      </c>
      <c r="F28" s="309">
        <f t="shared" si="8"/>
        <v>879.12606035871931</v>
      </c>
      <c r="G28" s="309">
        <f t="shared" si="8"/>
        <v>1010.3847906161927</v>
      </c>
      <c r="H28" s="309">
        <f t="shared" si="8"/>
        <v>1138.4387094272654</v>
      </c>
      <c r="I28" s="309">
        <f t="shared" si="8"/>
        <v>1291.3920063364683</v>
      </c>
      <c r="J28" s="309">
        <f t="shared" si="8"/>
        <v>1458.5037202649528</v>
      </c>
      <c r="K28" s="309">
        <f t="shared" si="8"/>
        <v>1670.0829442418981</v>
      </c>
      <c r="L28" s="309">
        <f t="shared" si="8"/>
        <v>1889.8527496251318</v>
      </c>
      <c r="M28" s="309">
        <f t="shared" si="8"/>
        <v>2133.6128949205922</v>
      </c>
      <c r="N28" s="309">
        <f t="shared" si="8"/>
        <v>940.4848100337623</v>
      </c>
      <c r="O28" s="309">
        <f t="shared" si="8"/>
        <v>857.23687651239152</v>
      </c>
      <c r="P28" s="309">
        <f t="shared" si="8"/>
        <v>731.66358188366917</v>
      </c>
      <c r="Q28" s="309">
        <f t="shared" si="8"/>
        <v>567.28402452608861</v>
      </c>
      <c r="R28" s="309">
        <f t="shared" si="8"/>
        <v>0</v>
      </c>
      <c r="S28" s="309">
        <f t="shared" si="8"/>
        <v>2771.9358683925293</v>
      </c>
      <c r="T28" s="309">
        <f t="shared" si="8"/>
        <v>8217.7966820942802</v>
      </c>
      <c r="U28" s="309">
        <f t="shared" si="8"/>
        <v>9345.6302224243118</v>
      </c>
      <c r="V28" s="309">
        <f t="shared" si="8"/>
        <v>10630.748434220675</v>
      </c>
      <c r="W28" s="309">
        <f t="shared" ref="W28:AG28" si="9">+IF(W27&gt;W26,W27-W26,0)</f>
        <v>6339.4018400187479</v>
      </c>
      <c r="X28" s="309">
        <f t="shared" si="9"/>
        <v>3634.8954595467785</v>
      </c>
      <c r="Y28" s="309">
        <f t="shared" si="9"/>
        <v>5133.0127431916417</v>
      </c>
      <c r="Z28" s="309">
        <f t="shared" si="9"/>
        <v>5842.4117064641978</v>
      </c>
      <c r="AA28" s="309">
        <f t="shared" si="9"/>
        <v>6648.2166640612959</v>
      </c>
      <c r="AB28" s="309">
        <f t="shared" si="9"/>
        <v>7569.1884620458441</v>
      </c>
      <c r="AC28" s="309">
        <f t="shared" si="9"/>
        <v>8617.9281675842994</v>
      </c>
      <c r="AD28" s="309">
        <f t="shared" si="9"/>
        <v>9814.168456819134</v>
      </c>
      <c r="AE28" s="309">
        <f t="shared" si="9"/>
        <v>11174.652523991954</v>
      </c>
      <c r="AF28" s="309">
        <f t="shared" si="9"/>
        <v>12728.213809831948</v>
      </c>
      <c r="AG28" s="309">
        <f t="shared" si="9"/>
        <v>14883.645789435684</v>
      </c>
    </row>
    <row r="29" spans="1:33">
      <c r="A29" s="45" t="s">
        <v>58</v>
      </c>
      <c r="B29" s="18">
        <f t="shared" ref="B29:V29" si="10">+B25+B28</f>
        <v>-19531.711651831021</v>
      </c>
      <c r="C29" s="18">
        <f t="shared" si="10"/>
        <v>-17607.762505806018</v>
      </c>
      <c r="D29" s="18">
        <f t="shared" si="10"/>
        <v>-16876.315815589351</v>
      </c>
      <c r="E29" s="18">
        <f t="shared" si="10"/>
        <v>-16093.680423422526</v>
      </c>
      <c r="F29" s="18">
        <f t="shared" si="10"/>
        <v>-15214.554363063806</v>
      </c>
      <c r="G29" s="18">
        <f t="shared" si="10"/>
        <v>-14204.169572447612</v>
      </c>
      <c r="H29" s="18">
        <f t="shared" si="10"/>
        <v>-13065.730863020346</v>
      </c>
      <c r="I29" s="18">
        <f t="shared" si="10"/>
        <v>-11774.338856683878</v>
      </c>
      <c r="J29" s="18">
        <f t="shared" si="10"/>
        <v>-10315.835136418926</v>
      </c>
      <c r="K29" s="18">
        <f t="shared" si="10"/>
        <v>-8645.7521921770276</v>
      </c>
      <c r="L29" s="18">
        <f t="shared" si="10"/>
        <v>-6755.8994425518958</v>
      </c>
      <c r="M29" s="18">
        <f t="shared" si="10"/>
        <v>-4622.2865476313036</v>
      </c>
      <c r="N29" s="18">
        <f t="shared" si="10"/>
        <v>-3681.8017375975414</v>
      </c>
      <c r="O29" s="18">
        <f t="shared" si="10"/>
        <v>-2824.5648610851499</v>
      </c>
      <c r="P29" s="18">
        <f t="shared" si="10"/>
        <v>-2092.901279201481</v>
      </c>
      <c r="Q29" s="18">
        <f t="shared" si="10"/>
        <v>-1525.6172546753924</v>
      </c>
      <c r="R29" s="18">
        <f t="shared" si="10"/>
        <v>-1525.6172546753924</v>
      </c>
      <c r="S29" s="18">
        <f t="shared" si="10"/>
        <v>1246.3186137171369</v>
      </c>
      <c r="T29" s="18">
        <f t="shared" si="10"/>
        <v>9464.115295811418</v>
      </c>
      <c r="U29" s="18">
        <f t="shared" si="10"/>
        <v>18809.74551823573</v>
      </c>
      <c r="V29" s="18">
        <f t="shared" si="10"/>
        <v>29440.493952456403</v>
      </c>
      <c r="W29" s="18">
        <f t="shared" ref="W29:AG29" si="11">+W25+W28</f>
        <v>35779.895792475152</v>
      </c>
      <c r="X29" s="18">
        <f t="shared" si="11"/>
        <v>39414.791252021932</v>
      </c>
      <c r="Y29" s="18">
        <f t="shared" si="11"/>
        <v>44547.803995213573</v>
      </c>
      <c r="Z29" s="18">
        <f t="shared" si="11"/>
        <v>50390.215701677771</v>
      </c>
      <c r="AA29" s="18">
        <f t="shared" si="11"/>
        <v>57038.432365739063</v>
      </c>
      <c r="AB29" s="18">
        <f t="shared" si="11"/>
        <v>64607.620827784907</v>
      </c>
      <c r="AC29" s="18">
        <f t="shared" si="11"/>
        <v>73225.548995369201</v>
      </c>
      <c r="AD29" s="18">
        <f t="shared" si="11"/>
        <v>83039.717452188343</v>
      </c>
      <c r="AE29" s="18">
        <f t="shared" si="11"/>
        <v>94214.3699761803</v>
      </c>
      <c r="AF29" s="18">
        <f t="shared" si="11"/>
        <v>106942.58378601226</v>
      </c>
      <c r="AG29" s="18">
        <f t="shared" si="11"/>
        <v>121826.22957544794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9" t="s">
        <v>394</v>
      </c>
    </row>
    <row r="34" spans="1:33">
      <c r="A34" s="449"/>
    </row>
    <row r="35" spans="1:33">
      <c r="A35" s="448" t="s">
        <v>361</v>
      </c>
    </row>
    <row r="36" spans="1:33" s="18" customFormat="1">
      <c r="A36" s="45" t="s">
        <v>360</v>
      </c>
      <c r="B36" s="18">
        <f>-Assumptions!C10*Assumptions!$G$48</f>
        <v>-19531.711651831021</v>
      </c>
    </row>
    <row r="37" spans="1:33" s="18" customFormat="1">
      <c r="A37" s="45" t="s">
        <v>359</v>
      </c>
      <c r="B37" s="456">
        <f>B21*Assumptions!$G$48</f>
        <v>0</v>
      </c>
      <c r="C37" s="456">
        <f>C21*Assumptions!$G$48</f>
        <v>4658.3887772813459</v>
      </c>
      <c r="D37" s="456">
        <f>D21*Assumptions!$G$48</f>
        <v>3196.5334410295109</v>
      </c>
      <c r="E37" s="456">
        <f>E21*Assumptions!$G$48</f>
        <v>3145.3196063493342</v>
      </c>
      <c r="F37" s="456">
        <f>F21*Assumptions!$G$48</f>
        <v>3132.2413196378729</v>
      </c>
      <c r="G37" s="456">
        <f>G21*Assumptions!$G$48</f>
        <v>3140.4224014451256</v>
      </c>
      <c r="H37" s="456">
        <f>H21*Assumptions!$G$48</f>
        <v>3127.0224495699313</v>
      </c>
      <c r="I37" s="456">
        <f>I21*Assumptions!$G$48</f>
        <v>3120.5943271593169</v>
      </c>
      <c r="J37" s="456">
        <f>J21*Assumptions!$G$48</f>
        <v>3106.911160200696</v>
      </c>
      <c r="K37" s="456">
        <f>K21*Assumptions!$G$48</f>
        <v>3114.2998633405477</v>
      </c>
      <c r="L37" s="456">
        <f>L21*Assumptions!$G$48</f>
        <v>3100.2580565299158</v>
      </c>
      <c r="M37" s="456">
        <f>M21*Assumptions!$G$48</f>
        <v>3079.4388168778578</v>
      </c>
      <c r="N37" s="456">
        <f>N21*Assumptions!$G$48</f>
        <v>1587.6049267021449</v>
      </c>
      <c r="O37" s="456">
        <f>O21*Assumptions!$G$48</f>
        <v>1372.6891197760474</v>
      </c>
      <c r="P37" s="456">
        <f>P21*Assumptions!$G$48</f>
        <v>1127.1026624355902</v>
      </c>
      <c r="Q37" s="456">
        <f>Q21*Assumptions!$G$48</f>
        <v>860.29020361429593</v>
      </c>
      <c r="R37" s="456">
        <f>R21*Assumptions!$G$48</f>
        <v>-648.43053381512573</v>
      </c>
      <c r="S37" s="456">
        <f>S21*Assumptions!$G$48</f>
        <v>2985.5222840470842</v>
      </c>
      <c r="T37" s="456">
        <f>T21*Assumptions!$G$48</f>
        <v>8043.312076173881</v>
      </c>
      <c r="U37" s="456">
        <f>U21*Assumptions!$G$48</f>
        <v>8020.6540810107135</v>
      </c>
      <c r="V37" s="456">
        <f>V21*Assumptions!$G$48</f>
        <v>7997.3840616676725</v>
      </c>
      <c r="W37" s="456">
        <f>W21*Assumptions!$G$48</f>
        <v>2217.7326866748508</v>
      </c>
      <c r="X37" s="456">
        <f>X21*Assumptions!$G$48</f>
        <v>-1374.2899513997434</v>
      </c>
      <c r="Y37" s="456">
        <f>Y21*Assumptions!$G$48</f>
        <v>-385.0580320914296</v>
      </c>
      <c r="Z37" s="456">
        <f>Z21*Assumptions!$G$48</f>
        <v>-394.28085286570331</v>
      </c>
      <c r="AA37" s="456">
        <f>AA21*Assumptions!$G$48</f>
        <v>-406.41353417359301</v>
      </c>
      <c r="AB37" s="456">
        <f>AB21*Assumptions!$G$48</f>
        <v>-416.19206915762516</v>
      </c>
      <c r="AC37" s="456">
        <f>AC21*Assumptions!$G$48</f>
        <v>-427.1387483055878</v>
      </c>
      <c r="AD37" s="456">
        <f>AD21*Assumptions!$G$48</f>
        <v>-437.40840253255601</v>
      </c>
      <c r="AE37" s="456">
        <f>AE21*Assumptions!$G$48</f>
        <v>-450.90791931441481</v>
      </c>
      <c r="AF37" s="456">
        <f>AF21*Assumptions!$G$48</f>
        <v>-461.797986833295</v>
      </c>
      <c r="AG37" s="456">
        <f>AG21*Assumptions!$G$48</f>
        <v>-88.315940606033564</v>
      </c>
    </row>
    <row r="38" spans="1:33" s="18" customFormat="1">
      <c r="A38" s="45" t="s">
        <v>358</v>
      </c>
      <c r="B38" s="18">
        <f t="shared" ref="B38:AG38" si="12">SUM(B36:B37)</f>
        <v>-19531.711651831021</v>
      </c>
      <c r="C38" s="18">
        <f t="shared" si="12"/>
        <v>4658.3887772813459</v>
      </c>
      <c r="D38" s="18">
        <f t="shared" si="12"/>
        <v>3196.5334410295109</v>
      </c>
      <c r="E38" s="18">
        <f t="shared" si="12"/>
        <v>3145.3196063493342</v>
      </c>
      <c r="F38" s="18">
        <f t="shared" si="12"/>
        <v>3132.2413196378729</v>
      </c>
      <c r="G38" s="18">
        <f t="shared" si="12"/>
        <v>3140.4224014451256</v>
      </c>
      <c r="H38" s="18">
        <f t="shared" si="12"/>
        <v>3127.0224495699313</v>
      </c>
      <c r="I38" s="18">
        <f t="shared" si="12"/>
        <v>3120.5943271593169</v>
      </c>
      <c r="J38" s="18">
        <f t="shared" si="12"/>
        <v>3106.911160200696</v>
      </c>
      <c r="K38" s="18">
        <f t="shared" si="12"/>
        <v>3114.2998633405477</v>
      </c>
      <c r="L38" s="18">
        <f t="shared" si="12"/>
        <v>3100.2580565299158</v>
      </c>
      <c r="M38" s="18">
        <f t="shared" si="12"/>
        <v>3079.4388168778578</v>
      </c>
      <c r="N38" s="18">
        <f t="shared" si="12"/>
        <v>1587.6049267021449</v>
      </c>
      <c r="O38" s="18">
        <f t="shared" si="12"/>
        <v>1372.6891197760474</v>
      </c>
      <c r="P38" s="18">
        <f t="shared" si="12"/>
        <v>1127.1026624355902</v>
      </c>
      <c r="Q38" s="18">
        <f t="shared" si="12"/>
        <v>860.29020361429593</v>
      </c>
      <c r="R38" s="18">
        <f t="shared" si="12"/>
        <v>-648.43053381512573</v>
      </c>
      <c r="S38" s="18">
        <f t="shared" si="12"/>
        <v>2985.5222840470842</v>
      </c>
      <c r="T38" s="18">
        <f t="shared" si="12"/>
        <v>8043.312076173881</v>
      </c>
      <c r="U38" s="18">
        <f t="shared" si="12"/>
        <v>8020.6540810107135</v>
      </c>
      <c r="V38" s="18">
        <f t="shared" si="12"/>
        <v>7997.3840616676725</v>
      </c>
      <c r="W38" s="18">
        <f t="shared" si="12"/>
        <v>2217.7326866748508</v>
      </c>
      <c r="X38" s="18">
        <f t="shared" si="12"/>
        <v>-1374.2899513997434</v>
      </c>
      <c r="Y38" s="18">
        <f t="shared" si="12"/>
        <v>-385.0580320914296</v>
      </c>
      <c r="Z38" s="18">
        <f t="shared" si="12"/>
        <v>-394.28085286570331</v>
      </c>
      <c r="AA38" s="18">
        <f t="shared" si="12"/>
        <v>-406.41353417359301</v>
      </c>
      <c r="AB38" s="18">
        <f t="shared" si="12"/>
        <v>-416.19206915762516</v>
      </c>
      <c r="AC38" s="18">
        <f t="shared" si="12"/>
        <v>-427.1387483055878</v>
      </c>
      <c r="AD38" s="18">
        <f t="shared" si="12"/>
        <v>-437.40840253255601</v>
      </c>
      <c r="AE38" s="18">
        <f t="shared" si="12"/>
        <v>-450.90791931441481</v>
      </c>
      <c r="AF38" s="18">
        <f t="shared" si="12"/>
        <v>-461.797986833295</v>
      </c>
      <c r="AG38" s="18">
        <f t="shared" si="12"/>
        <v>-88.315940606033564</v>
      </c>
    </row>
    <row r="39" spans="1:33">
      <c r="B39" s="448" t="s">
        <v>1</v>
      </c>
      <c r="C39" s="454">
        <f>XIRR(B38:W38,B8:W8)</f>
        <v>0.14115228056907658</v>
      </c>
    </row>
    <row r="40" spans="1:33">
      <c r="A40" s="45"/>
      <c r="B40" s="450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360</v>
      </c>
      <c r="B42" s="18">
        <f>-Assumptions!C10*Assumptions!$G$48</f>
        <v>-19531.711651831021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359</v>
      </c>
      <c r="B43" s="451">
        <f>B21*Assumptions!$G$48</f>
        <v>0</v>
      </c>
      <c r="C43" s="451">
        <f>C21*Assumptions!$G$48</f>
        <v>4658.3887772813459</v>
      </c>
      <c r="D43" s="451">
        <f>D21*Assumptions!$G$48</f>
        <v>3196.5334410295109</v>
      </c>
      <c r="E43" s="451">
        <f>E21*Assumptions!$G$48</f>
        <v>3145.3196063493342</v>
      </c>
      <c r="F43" s="451">
        <f>F21*Assumptions!$G$48</f>
        <v>3132.2413196378729</v>
      </c>
      <c r="G43" s="451">
        <f>G21*Assumptions!$G$48</f>
        <v>3140.4224014451256</v>
      </c>
      <c r="H43" s="451">
        <f>H21*Assumptions!$G$48</f>
        <v>3127.0224495699313</v>
      </c>
      <c r="I43" s="451">
        <f>I21*Assumptions!$G$48</f>
        <v>3120.5943271593169</v>
      </c>
      <c r="J43" s="451">
        <f>J21*Assumptions!$G$48</f>
        <v>3106.911160200696</v>
      </c>
      <c r="K43" s="451">
        <f>K21*Assumptions!$G$48</f>
        <v>3114.2998633405477</v>
      </c>
      <c r="L43" s="451">
        <f>L21*Assumptions!$G$48</f>
        <v>3100.2580565299158</v>
      </c>
      <c r="M43" s="451">
        <f>M21*Assumptions!$G$48</f>
        <v>3079.4388168778578</v>
      </c>
      <c r="N43" s="451">
        <f>N21*Assumptions!$G$48</f>
        <v>1587.6049267021449</v>
      </c>
      <c r="O43" s="451">
        <f>O21*Assumptions!$G$48</f>
        <v>1372.6891197760474</v>
      </c>
      <c r="P43" s="451">
        <f>P21*Assumptions!$G$48</f>
        <v>1127.1026624355902</v>
      </c>
      <c r="Q43" s="451">
        <f>Q21*Assumptions!$G$48</f>
        <v>860.29020361429593</v>
      </c>
      <c r="R43" s="451">
        <f>R21*Assumptions!$G$48</f>
        <v>-648.43053381512573</v>
      </c>
      <c r="S43" s="451">
        <f>S21*Assumptions!$G$48</f>
        <v>2985.5222840470842</v>
      </c>
      <c r="T43" s="451">
        <f>T21*Assumptions!$G$48</f>
        <v>8043.312076173881</v>
      </c>
      <c r="U43" s="451">
        <f>U21*Assumptions!$G$48</f>
        <v>8020.6540810107135</v>
      </c>
      <c r="V43" s="451">
        <f>V21*Assumptions!$G$48</f>
        <v>7997.3840616676725</v>
      </c>
      <c r="W43" s="451">
        <f>W21*Assumptions!$G$48</f>
        <v>2217.7326866748508</v>
      </c>
      <c r="X43" s="451">
        <f>X21*Assumptions!$G$48</f>
        <v>-1374.2899513997434</v>
      </c>
      <c r="Y43" s="451">
        <f>Y21*Assumptions!$G$48</f>
        <v>-385.0580320914296</v>
      </c>
      <c r="Z43" s="451">
        <f>Z21*Assumptions!$G$48</f>
        <v>-394.28085286570331</v>
      </c>
      <c r="AA43" s="451">
        <f>AA21*Assumptions!$G$48</f>
        <v>-406.41353417359301</v>
      </c>
      <c r="AB43" s="451">
        <f>AB21*Assumptions!$G$48</f>
        <v>-416.19206915762516</v>
      </c>
      <c r="AC43" s="451">
        <f>AC21*Assumptions!$G$48</f>
        <v>-427.1387483055878</v>
      </c>
      <c r="AD43" s="451">
        <f>AD21*Assumptions!$G$48</f>
        <v>-437.40840253255601</v>
      </c>
      <c r="AE43" s="451">
        <f>AE21*Assumptions!$G$48</f>
        <v>-450.90791931441481</v>
      </c>
      <c r="AF43" s="451">
        <f>AF21*Assumptions!$G$48</f>
        <v>-461.797986833295</v>
      </c>
      <c r="AG43" s="451">
        <f>AG21*Assumptions!$G$48</f>
        <v>-88.315940606033564</v>
      </c>
    </row>
    <row r="44" spans="1:33">
      <c r="A44" s="56" t="s">
        <v>125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Assumptions!H23*IS!W32*Assumptions!G48</f>
        <v>18289.007609662403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-9796.587971519657</v>
      </c>
    </row>
    <row r="45" spans="1:33">
      <c r="A45" s="56" t="s">
        <v>358</v>
      </c>
      <c r="B45" s="18">
        <f t="shared" ref="B45:AG45" si="13">SUM(B42:B44)</f>
        <v>-19531.711651831021</v>
      </c>
      <c r="C45" s="18">
        <f t="shared" si="13"/>
        <v>4658.3887772813459</v>
      </c>
      <c r="D45" s="18">
        <f t="shared" si="13"/>
        <v>3196.5334410295109</v>
      </c>
      <c r="E45" s="18">
        <f t="shared" si="13"/>
        <v>3145.3196063493342</v>
      </c>
      <c r="F45" s="18">
        <f t="shared" si="13"/>
        <v>3132.2413196378729</v>
      </c>
      <c r="G45" s="18">
        <f t="shared" si="13"/>
        <v>3140.4224014451256</v>
      </c>
      <c r="H45" s="18">
        <f t="shared" si="13"/>
        <v>3127.0224495699313</v>
      </c>
      <c r="I45" s="18">
        <f t="shared" si="13"/>
        <v>3120.5943271593169</v>
      </c>
      <c r="J45" s="18">
        <f t="shared" si="13"/>
        <v>3106.911160200696</v>
      </c>
      <c r="K45" s="18">
        <f t="shared" si="13"/>
        <v>3114.2998633405477</v>
      </c>
      <c r="L45" s="18">
        <f t="shared" si="13"/>
        <v>3100.2580565299158</v>
      </c>
      <c r="M45" s="18">
        <f t="shared" si="13"/>
        <v>3079.4388168778578</v>
      </c>
      <c r="N45" s="18">
        <f t="shared" si="13"/>
        <v>1587.6049267021449</v>
      </c>
      <c r="O45" s="18">
        <f t="shared" si="13"/>
        <v>1372.6891197760474</v>
      </c>
      <c r="P45" s="18">
        <f t="shared" si="13"/>
        <v>1127.1026624355902</v>
      </c>
      <c r="Q45" s="18">
        <f t="shared" si="13"/>
        <v>860.29020361429593</v>
      </c>
      <c r="R45" s="18">
        <f t="shared" si="13"/>
        <v>-648.43053381512573</v>
      </c>
      <c r="S45" s="18">
        <f t="shared" si="13"/>
        <v>2985.5222840470842</v>
      </c>
      <c r="T45" s="18">
        <f t="shared" si="13"/>
        <v>8043.312076173881</v>
      </c>
      <c r="U45" s="18">
        <f t="shared" si="13"/>
        <v>8020.6540810107135</v>
      </c>
      <c r="V45" s="18">
        <f t="shared" si="13"/>
        <v>7997.3840616676725</v>
      </c>
      <c r="W45" s="18">
        <f t="shared" si="13"/>
        <v>20506.740296337255</v>
      </c>
      <c r="X45" s="18">
        <f t="shared" si="13"/>
        <v>-1374.2899513997434</v>
      </c>
      <c r="Y45" s="18">
        <f t="shared" si="13"/>
        <v>-385.0580320914296</v>
      </c>
      <c r="Z45" s="18">
        <f t="shared" si="13"/>
        <v>-394.28085286570331</v>
      </c>
      <c r="AA45" s="18">
        <f t="shared" si="13"/>
        <v>-406.41353417359301</v>
      </c>
      <c r="AB45" s="18">
        <f t="shared" si="13"/>
        <v>-416.19206915762516</v>
      </c>
      <c r="AC45" s="18">
        <f t="shared" si="13"/>
        <v>-427.1387483055878</v>
      </c>
      <c r="AD45" s="18">
        <f t="shared" si="13"/>
        <v>-437.40840253255601</v>
      </c>
      <c r="AE45" s="18">
        <f t="shared" si="13"/>
        <v>-450.90791931441481</v>
      </c>
      <c r="AF45" s="18">
        <f t="shared" si="13"/>
        <v>-461.797986833295</v>
      </c>
      <c r="AG45" s="18">
        <f t="shared" si="13"/>
        <v>-9884.9039121256901</v>
      </c>
    </row>
    <row r="46" spans="1:33">
      <c r="A46" s="13"/>
      <c r="B46" s="448" t="s">
        <v>1</v>
      </c>
      <c r="C46" s="454">
        <f>XIRR(B45:W45,B8:W8)</f>
        <v>0.14880728125572204</v>
      </c>
    </row>
    <row r="47" spans="1:33">
      <c r="A47" s="56"/>
      <c r="B47" s="450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360</v>
      </c>
      <c r="B49" s="18">
        <f>-Assumptions!C10*Assumptions!G48</f>
        <v>-19531.711651831021</v>
      </c>
    </row>
    <row r="50" spans="1:33" s="18" customFormat="1">
      <c r="A50" s="56" t="s">
        <v>359</v>
      </c>
      <c r="B50" s="18">
        <f>+B21*Assumptions!$G$48</f>
        <v>0</v>
      </c>
      <c r="C50" s="18">
        <f>+C21*Assumptions!$G$48</f>
        <v>4658.3887772813459</v>
      </c>
      <c r="D50" s="18">
        <f>+D21*Assumptions!$G$48</f>
        <v>3196.5334410295109</v>
      </c>
      <c r="E50" s="18">
        <f>+E21*Assumptions!$G$48</f>
        <v>3145.3196063493342</v>
      </c>
      <c r="F50" s="18">
        <f>+F21*Assumptions!$G$48</f>
        <v>3132.2413196378729</v>
      </c>
      <c r="G50" s="18">
        <f>+G21*Assumptions!$G$48</f>
        <v>3140.4224014451256</v>
      </c>
      <c r="H50" s="18">
        <f>+H21*Assumptions!$G$48</f>
        <v>3127.0224495699313</v>
      </c>
      <c r="I50" s="18">
        <f>+I21*Assumptions!$G$48</f>
        <v>3120.5943271593169</v>
      </c>
      <c r="J50" s="18">
        <f>+J21*Assumptions!$G$48</f>
        <v>3106.911160200696</v>
      </c>
      <c r="K50" s="18">
        <f>+K21*Assumptions!$G$48</f>
        <v>3114.2998633405477</v>
      </c>
      <c r="L50" s="18">
        <f>+L21*Assumptions!$G$48</f>
        <v>3100.2580565299158</v>
      </c>
      <c r="M50" s="18">
        <f>+M21*Assumptions!$G$48</f>
        <v>3079.4388168778578</v>
      </c>
      <c r="N50" s="18">
        <f>+N21*Assumptions!$G$48</f>
        <v>1587.6049267021449</v>
      </c>
      <c r="O50" s="18">
        <f>+O21*Assumptions!$G$48</f>
        <v>1372.6891197760474</v>
      </c>
      <c r="P50" s="18">
        <f>+P21*Assumptions!$G$48</f>
        <v>1127.1026624355902</v>
      </c>
      <c r="Q50" s="18">
        <f>+Q21*Assumptions!$G$48</f>
        <v>860.29020361429593</v>
      </c>
      <c r="R50" s="18">
        <f>+R21*Assumptions!$G$48</f>
        <v>-648.43053381512573</v>
      </c>
      <c r="S50" s="18">
        <f>+S21*Assumptions!$G$48</f>
        <v>2985.5222840470842</v>
      </c>
      <c r="T50" s="18">
        <f>+T21*Assumptions!$G$48</f>
        <v>8043.312076173881</v>
      </c>
      <c r="U50" s="18">
        <f>+U21*Assumptions!$G$48</f>
        <v>8020.6540810107135</v>
      </c>
      <c r="V50" s="18">
        <f>+V21*Assumptions!$G$48</f>
        <v>7997.3840616676725</v>
      </c>
      <c r="W50" s="18">
        <f>+W21*Assumptions!$G$48</f>
        <v>2217.7326866748508</v>
      </c>
      <c r="X50" s="18">
        <f>+X21*Assumptions!$G$48</f>
        <v>-1374.2899513997434</v>
      </c>
      <c r="Y50" s="18">
        <f>+Y21*Assumptions!$G$48</f>
        <v>-385.0580320914296</v>
      </c>
      <c r="Z50" s="18">
        <f>+Z21*Assumptions!$G$48</f>
        <v>-394.28085286570331</v>
      </c>
      <c r="AA50" s="18">
        <f>+AA21*Assumptions!$G$48</f>
        <v>-406.41353417359301</v>
      </c>
      <c r="AB50" s="18">
        <f>+AB21*Assumptions!$G$48</f>
        <v>-416.19206915762516</v>
      </c>
      <c r="AC50" s="18">
        <f>+AC21*Assumptions!$G$48</f>
        <v>-427.1387483055878</v>
      </c>
      <c r="AD50" s="18">
        <f>+AD21*Assumptions!$G$48</f>
        <v>-437.40840253255601</v>
      </c>
      <c r="AE50" s="18">
        <f>+AE21*Assumptions!$G$48</f>
        <v>-450.90791931441481</v>
      </c>
      <c r="AF50" s="18">
        <f>+AF21*Assumptions!$G$48</f>
        <v>-461.797986833295</v>
      </c>
      <c r="AG50" s="18">
        <f>+AG21*Assumptions!$G$48</f>
        <v>-88.315940606033564</v>
      </c>
    </row>
    <row r="51" spans="1:33" s="18" customFormat="1">
      <c r="A51" s="56" t="s">
        <v>125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22156.421537170507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Assumptions!H24*Assumptions!C61*Assumptions!G48</f>
        <v>22156.421537170507</v>
      </c>
    </row>
    <row r="52" spans="1:33" s="18" customFormat="1">
      <c r="A52" s="56" t="s">
        <v>358</v>
      </c>
      <c r="B52" s="18">
        <f>SUM(B49:B51)</f>
        <v>-19531.711651831021</v>
      </c>
      <c r="C52" s="18">
        <f t="shared" ref="C52:AG52" si="14">SUM(C49:C51)</f>
        <v>4658.3887772813459</v>
      </c>
      <c r="D52" s="18">
        <f t="shared" si="14"/>
        <v>3196.5334410295109</v>
      </c>
      <c r="E52" s="18">
        <f t="shared" si="14"/>
        <v>3145.3196063493342</v>
      </c>
      <c r="F52" s="18">
        <f t="shared" si="14"/>
        <v>3132.2413196378729</v>
      </c>
      <c r="G52" s="18">
        <f t="shared" si="14"/>
        <v>3140.4224014451256</v>
      </c>
      <c r="H52" s="18">
        <f t="shared" si="14"/>
        <v>3127.0224495699313</v>
      </c>
      <c r="I52" s="18">
        <f t="shared" si="14"/>
        <v>3120.5943271593169</v>
      </c>
      <c r="J52" s="18">
        <f t="shared" si="14"/>
        <v>3106.911160200696</v>
      </c>
      <c r="K52" s="18">
        <f t="shared" si="14"/>
        <v>3114.2998633405477</v>
      </c>
      <c r="L52" s="18">
        <f t="shared" si="14"/>
        <v>3100.2580565299158</v>
      </c>
      <c r="M52" s="18">
        <f t="shared" si="14"/>
        <v>3079.4388168778578</v>
      </c>
      <c r="N52" s="18">
        <f t="shared" si="14"/>
        <v>1587.6049267021449</v>
      </c>
      <c r="O52" s="18">
        <f t="shared" si="14"/>
        <v>1372.6891197760474</v>
      </c>
      <c r="P52" s="18">
        <f t="shared" si="14"/>
        <v>1127.1026624355902</v>
      </c>
      <c r="Q52" s="18">
        <f t="shared" si="14"/>
        <v>860.29020361429593</v>
      </c>
      <c r="R52" s="18">
        <f t="shared" si="14"/>
        <v>-648.43053381512573</v>
      </c>
      <c r="S52" s="18">
        <f t="shared" si="14"/>
        <v>2985.5222840470842</v>
      </c>
      <c r="T52" s="18">
        <f t="shared" si="14"/>
        <v>8043.312076173881</v>
      </c>
      <c r="U52" s="18">
        <f t="shared" si="14"/>
        <v>8020.6540810107135</v>
      </c>
      <c r="V52" s="18">
        <f t="shared" si="14"/>
        <v>7997.3840616676725</v>
      </c>
      <c r="W52" s="18">
        <f t="shared" si="14"/>
        <v>24374.154223845359</v>
      </c>
      <c r="X52" s="18">
        <f t="shared" si="14"/>
        <v>-1374.2899513997434</v>
      </c>
      <c r="Y52" s="18">
        <f t="shared" si="14"/>
        <v>-385.0580320914296</v>
      </c>
      <c r="Z52" s="18">
        <f t="shared" si="14"/>
        <v>-394.28085286570331</v>
      </c>
      <c r="AA52" s="18">
        <f t="shared" si="14"/>
        <v>-406.41353417359301</v>
      </c>
      <c r="AB52" s="18">
        <f t="shared" si="14"/>
        <v>-416.19206915762516</v>
      </c>
      <c r="AC52" s="18">
        <f t="shared" si="14"/>
        <v>-427.1387483055878</v>
      </c>
      <c r="AD52" s="18">
        <f t="shared" si="14"/>
        <v>-437.40840253255601</v>
      </c>
      <c r="AE52" s="18">
        <f t="shared" si="14"/>
        <v>-450.90791931441481</v>
      </c>
      <c r="AF52" s="18">
        <f t="shared" si="14"/>
        <v>-461.797986833295</v>
      </c>
      <c r="AG52" s="18">
        <f t="shared" si="14"/>
        <v>22068.105596564474</v>
      </c>
    </row>
    <row r="53" spans="1:33">
      <c r="A53" s="13"/>
      <c r="B53" s="448" t="s">
        <v>1</v>
      </c>
      <c r="C53" s="454">
        <f>XIRR(B52:W52,B8:W8)</f>
        <v>0.15024498105049136</v>
      </c>
    </row>
    <row r="54" spans="1:33">
      <c r="A54" s="56"/>
      <c r="B54" s="450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360</v>
      </c>
      <c r="B56" s="18">
        <f>-Assumptions!C10*Assumptions!G48</f>
        <v>-19531.711651831021</v>
      </c>
    </row>
    <row r="57" spans="1:33" s="18" customFormat="1">
      <c r="A57" s="56" t="s">
        <v>359</v>
      </c>
      <c r="B57" s="451">
        <f>B21*Assumptions!$G$48</f>
        <v>0</v>
      </c>
      <c r="C57" s="451">
        <f>C21*Assumptions!$G$48</f>
        <v>4658.3887772813459</v>
      </c>
      <c r="D57" s="451">
        <f>D21*Assumptions!$G$48</f>
        <v>3196.5334410295109</v>
      </c>
      <c r="E57" s="451">
        <f>E21*Assumptions!$G$48</f>
        <v>3145.3196063493342</v>
      </c>
      <c r="F57" s="451">
        <f>F21*Assumptions!$G$48</f>
        <v>3132.2413196378729</v>
      </c>
      <c r="G57" s="451">
        <f>G21*Assumptions!$G$48</f>
        <v>3140.4224014451256</v>
      </c>
      <c r="H57" s="451">
        <f>H21*Assumptions!$G$48</f>
        <v>3127.0224495699313</v>
      </c>
      <c r="I57" s="451">
        <f>I21*Assumptions!$G$48</f>
        <v>3120.5943271593169</v>
      </c>
      <c r="J57" s="451">
        <f>J21*Assumptions!$G$48</f>
        <v>3106.911160200696</v>
      </c>
      <c r="K57" s="451">
        <f>K21*Assumptions!$G$48</f>
        <v>3114.2998633405477</v>
      </c>
      <c r="L57" s="451">
        <f>L21*Assumptions!$G$48</f>
        <v>3100.2580565299158</v>
      </c>
      <c r="M57" s="451">
        <f>M21*Assumptions!$G$48</f>
        <v>3079.4388168778578</v>
      </c>
      <c r="N57" s="451">
        <f>N21*Assumptions!$G$48</f>
        <v>1587.6049267021449</v>
      </c>
      <c r="O57" s="451">
        <f>O21*Assumptions!$G$48</f>
        <v>1372.6891197760474</v>
      </c>
      <c r="P57" s="451">
        <f>P21*Assumptions!$G$48</f>
        <v>1127.1026624355902</v>
      </c>
      <c r="Q57" s="451">
        <f>Q21*Assumptions!$G$48</f>
        <v>860.29020361429593</v>
      </c>
      <c r="R57" s="451">
        <f>R21*Assumptions!$G$48</f>
        <v>-648.43053381512573</v>
      </c>
      <c r="S57" s="451">
        <f>S21*Assumptions!$G$48</f>
        <v>2985.5222840470842</v>
      </c>
      <c r="T57" s="451">
        <f>T21*Assumptions!$G$48</f>
        <v>8043.312076173881</v>
      </c>
      <c r="U57" s="451">
        <f>U21*Assumptions!$G$48</f>
        <v>8020.6540810107135</v>
      </c>
      <c r="V57" s="451">
        <f>V21*Assumptions!$G$48</f>
        <v>7997.3840616676725</v>
      </c>
      <c r="W57" s="451">
        <f>W21*Assumptions!$G$48</f>
        <v>2217.7326866748508</v>
      </c>
      <c r="X57" s="451">
        <f>X21*Assumptions!$G$48</f>
        <v>-1374.2899513997434</v>
      </c>
      <c r="Y57" s="451">
        <f>Y21*Assumptions!$G$48</f>
        <v>-385.0580320914296</v>
      </c>
      <c r="Z57" s="451">
        <f>Z21*Assumptions!$G$48</f>
        <v>-394.28085286570331</v>
      </c>
      <c r="AA57" s="451">
        <f>AA21*Assumptions!$G$48</f>
        <v>-406.41353417359301</v>
      </c>
      <c r="AB57" s="451">
        <f>AB21*Assumptions!$G$48</f>
        <v>-416.19206915762516</v>
      </c>
      <c r="AC57" s="451">
        <f>AC21*Assumptions!$G$48</f>
        <v>-427.1387483055878</v>
      </c>
      <c r="AD57" s="451">
        <f>AD21*Assumptions!$G$48</f>
        <v>-437.40840253255601</v>
      </c>
      <c r="AE57" s="451">
        <f>AE21*Assumptions!$G$48</f>
        <v>-450.90791931441481</v>
      </c>
      <c r="AF57" s="451">
        <f>AF21*Assumptions!$G$48</f>
        <v>-461.797986833295</v>
      </c>
      <c r="AG57" s="451">
        <f>AG21*Assumptions!$G$48</f>
        <v>-88.315940606033564</v>
      </c>
    </row>
    <row r="58" spans="1:33" s="18" customFormat="1">
      <c r="A58" s="56" t="s">
        <v>125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37600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37600</v>
      </c>
    </row>
    <row r="59" spans="1:33" s="18" customFormat="1" ht="12" customHeight="1">
      <c r="A59" s="56" t="s">
        <v>358</v>
      </c>
      <c r="B59" s="18">
        <f>SUM(B56:B58)</f>
        <v>-19531.711651831021</v>
      </c>
      <c r="C59" s="18">
        <f t="shared" ref="C59:AG59" si="15">SUM(C56:C58)</f>
        <v>4658.3887772813459</v>
      </c>
      <c r="D59" s="18">
        <f t="shared" si="15"/>
        <v>3196.5334410295109</v>
      </c>
      <c r="E59" s="18">
        <f t="shared" si="15"/>
        <v>3145.3196063493342</v>
      </c>
      <c r="F59" s="18">
        <f t="shared" si="15"/>
        <v>3132.2413196378729</v>
      </c>
      <c r="G59" s="18">
        <f t="shared" si="15"/>
        <v>3140.4224014451256</v>
      </c>
      <c r="H59" s="18">
        <f t="shared" si="15"/>
        <v>3127.0224495699313</v>
      </c>
      <c r="I59" s="18">
        <f t="shared" si="15"/>
        <v>3120.5943271593169</v>
      </c>
      <c r="J59" s="18">
        <f t="shared" si="15"/>
        <v>3106.911160200696</v>
      </c>
      <c r="K59" s="18">
        <f t="shared" si="15"/>
        <v>3114.2998633405477</v>
      </c>
      <c r="L59" s="18">
        <f t="shared" si="15"/>
        <v>3100.2580565299158</v>
      </c>
      <c r="M59" s="18">
        <f t="shared" si="15"/>
        <v>3079.4388168778578</v>
      </c>
      <c r="N59" s="18">
        <f t="shared" si="15"/>
        <v>1587.6049267021449</v>
      </c>
      <c r="O59" s="18">
        <f t="shared" si="15"/>
        <v>1372.6891197760474</v>
      </c>
      <c r="P59" s="18">
        <f t="shared" si="15"/>
        <v>1127.1026624355902</v>
      </c>
      <c r="Q59" s="18">
        <f t="shared" si="15"/>
        <v>860.29020361429593</v>
      </c>
      <c r="R59" s="18">
        <f t="shared" si="15"/>
        <v>-648.43053381512573</v>
      </c>
      <c r="S59" s="18">
        <f t="shared" si="15"/>
        <v>2985.5222840470842</v>
      </c>
      <c r="T59" s="18">
        <f t="shared" si="15"/>
        <v>8043.312076173881</v>
      </c>
      <c r="U59" s="18">
        <f t="shared" si="15"/>
        <v>8020.6540810107135</v>
      </c>
      <c r="V59" s="18">
        <f t="shared" si="15"/>
        <v>7997.3840616676725</v>
      </c>
      <c r="W59" s="18">
        <f t="shared" si="15"/>
        <v>39817.732686674848</v>
      </c>
      <c r="X59" s="18">
        <f t="shared" si="15"/>
        <v>-1374.2899513997434</v>
      </c>
      <c r="Y59" s="18">
        <f t="shared" si="15"/>
        <v>-385.0580320914296</v>
      </c>
      <c r="Z59" s="18">
        <f t="shared" si="15"/>
        <v>-394.28085286570331</v>
      </c>
      <c r="AA59" s="18">
        <f t="shared" si="15"/>
        <v>-406.41353417359301</v>
      </c>
      <c r="AB59" s="18">
        <f t="shared" si="15"/>
        <v>-416.19206915762516</v>
      </c>
      <c r="AC59" s="18">
        <f t="shared" si="15"/>
        <v>-427.1387483055878</v>
      </c>
      <c r="AD59" s="18">
        <f t="shared" si="15"/>
        <v>-437.40840253255601</v>
      </c>
      <c r="AE59" s="18">
        <f t="shared" si="15"/>
        <v>-450.90791931441481</v>
      </c>
      <c r="AF59" s="18">
        <f t="shared" si="15"/>
        <v>-461.797986833295</v>
      </c>
      <c r="AG59" s="18">
        <f t="shared" si="15"/>
        <v>37511.684059393963</v>
      </c>
    </row>
    <row r="60" spans="1:33">
      <c r="A60" s="13"/>
      <c r="B60" s="448" t="s">
        <v>1</v>
      </c>
      <c r="C60" s="454">
        <f>XIRR(B59:W59,B8:W8)</f>
        <v>0.15550721287727362</v>
      </c>
    </row>
    <row r="61" spans="1:33">
      <c r="A61" s="56"/>
      <c r="B61" s="450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Gas Curve</vt:lpstr>
      <vt:lpstr>Turbo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2000-03-01T20:12:07Z</cp:lastPrinted>
  <dcterms:created xsi:type="dcterms:W3CDTF">1999-04-02T01:38:38Z</dcterms:created>
  <dcterms:modified xsi:type="dcterms:W3CDTF">2023-09-13T22:01:52Z</dcterms:modified>
</cp:coreProperties>
</file>