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883735-2288-4036-9C38-87876952A436}" xr6:coauthVersionLast="47" xr6:coauthVersionMax="47" xr10:uidLastSave="{00000000-0000-0000-0000-000000000000}"/>
  <bookViews>
    <workbookView xWindow="-120" yWindow="-120" windowWidth="38640" windowHeight="15720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H68" i="2"/>
  <c r="C69" i="2"/>
  <c r="A70" i="2"/>
  <c r="C70" i="2"/>
  <c r="A71" i="2"/>
  <c r="C71" i="2"/>
  <c r="A72" i="2"/>
  <c r="C72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E26" i="26"/>
  <c r="I26" i="26"/>
  <c r="I27" i="26"/>
  <c r="I28" i="26"/>
  <c r="E38" i="26"/>
  <c r="E50" i="26"/>
  <c r="E62" i="26"/>
  <c r="E74" i="26"/>
  <c r="E86" i="26"/>
  <c r="E98" i="26"/>
  <c r="E110" i="26"/>
  <c r="E122" i="26"/>
  <c r="E134" i="26"/>
  <c r="E146" i="26"/>
  <c r="E158" i="26"/>
  <c r="E170" i="26"/>
  <c r="E182" i="26"/>
  <c r="E194" i="26"/>
  <c r="E206" i="26"/>
  <c r="E218" i="26"/>
  <c r="E230" i="26"/>
  <c r="E242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C5" i="27"/>
  <c r="B7" i="27"/>
  <c r="B8" i="27"/>
  <c r="B10" i="27"/>
  <c r="E10" i="27"/>
  <c r="F10" i="27"/>
  <c r="G10" i="27"/>
  <c r="H10" i="27"/>
  <c r="I10" i="27"/>
  <c r="J10" i="27"/>
  <c r="K10" i="27"/>
  <c r="L10" i="27"/>
  <c r="B12" i="27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Per Patrick Malloy in Tax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<sst xmlns="http://schemas.openxmlformats.org/spreadsheetml/2006/main" count="579" uniqueCount="451">
  <si>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</si>
  <si>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</si>
  <si>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</si>
  <si>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</si>
  <si>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</si>
  <si>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</si>
  <si>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</si>
  <si>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</si>
  <si>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</si>
  <si>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</si>
  <si>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</si>
  <si>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</si>
  <si>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</si>
  <si>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</si>
  <si>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</si>
  <si>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</si>
  <si>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</si>
  <si>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</si>
  <si>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</si>
  <si>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</si>
  <si>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</si>
  <si>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</si>
  <si>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</si>
  <si>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</si>
  <si>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</si>
  <si>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</si>
  <si>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</si>
  <si>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</si>
  <si>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</si>
  <si>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</si>
  <si>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</si>
  <si>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</si>
  <si>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</si>
  <si>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</si>
  <si>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</si>
  <si>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</si>
  <si>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</si>
  <si>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</si>
  <si>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</si>
  <si>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</si>
  <si>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</si>
  <si>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</si>
  <si>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</si>
  <si>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</si>
  <si>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</si>
  <si>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</si>
  <si>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</si>
  <si>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</si>
  <si>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</si>
  <si>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</si>
  <si>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</si>
  <si>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</si>
  <si>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</si>
  <si>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</si>
  <si>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</si>
  <si>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</si>
  <si>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</si>
  <si>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</si>
  <si>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</si>
  <si>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</si>
  <si>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</si>
  <si>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</si>
  <si>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</si>
  <si>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</si>
  <si>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</si>
  <si>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</si>
  <si>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</si>
  <si>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</si>
  <si>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</si>
  <si>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</si>
  <si>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</si>
  <si>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</si>
  <si>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</si>
  <si>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</si>
  <si>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</si>
  <si>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</si>
  <si>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</si>
  <si>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</si>
  <si>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</si>
  <si>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</si>
  <si>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</si>
  <si>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</si>
  <si>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</si>
  <si>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</si>
  <si>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</si>
  <si>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</si>
  <si>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</si>
  <si>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</si>
  <si>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</si>
  <si>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</si>
  <si>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</si>
  <si>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</si>
  <si>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</si>
  <si>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</si>
  <si>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</si>
  <si>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</si>
  <si>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</si>
  <si>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</si>
  <si>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</si>
  <si>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</si>
  <si>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</si>
  <si>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</si>
  <si>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</si>
  <si>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</si>
  <si>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</si>
  <si>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</si>
  <si>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</si>
  <si>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</si>
  <si>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</si>
  <si>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</si>
  <si>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</si>
  <si>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</si>
  <si>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</si>
  <si>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</si>
  <si>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</si>
  <si>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</si>
  <si>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</si>
  <si>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</si>
  <si>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</si>
  <si>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</si>
  <si>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</si>
  <si>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</si>
  <si>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</si>
  <si>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</si>
  <si>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</si>
  <si>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</si>
  <si>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</si>
  <si>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</si>
  <si>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</si>
  <si>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</si>
  <si>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</si>
  <si>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</si>
  <si>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</si>
  <si>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</si>
  <si>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</si>
  <si>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</si>
  <si>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</si>
  <si>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</si>
  <si>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</si>
  <si>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</si>
  <si>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</si>
  <si>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</si>
  <si>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</si>
  <si>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</si>
  <si>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</si>
  <si>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</si>
  <si>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</si>
  <si>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</si>
  <si>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</si>
  <si>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</si>
  <si>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</si>
  <si>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</si>
  <si>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</si>
  <si>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</si>
  <si>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</si>
  <si>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</si>
  <si>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</si>
  <si>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</si>
  <si>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</si>
  <si>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</si>
  <si>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</si>
  <si>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</si>
  <si>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</si>
  <si>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</si>
  <si>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</si>
  <si>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</si>
  <si>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</si>
  <si>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</si>
  <si>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</si>
  <si>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</si>
  <si>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</si>
  <si>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</si>
  <si>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</si>
  <si>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</si>
  <si>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</si>
  <si>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</si>
  <si>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</si>
  <si>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</si>
  <si>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</si>
  <si>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</si>
  <si>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</si>
  <si>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</si>
  <si>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</si>
  <si>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</si>
  <si>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</si>
  <si>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</si>
  <si>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</si>
  <si>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</si>
  <si>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</si>
  <si>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</si>
  <si>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</si>
  <si>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</si>
  <si>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</si>
  <si>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</si>
  <si>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</si>
  <si>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</si>
  <si>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</si>
  <si>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</si>
  <si>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</si>
  <si>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</si>
  <si>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</si>
  <si>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</si>
  <si>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</si>
  <si>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</si>
  <si>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</si>
  <si>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</si>
  <si>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</si>
  <si>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</si>
  <si>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</si>
  <si>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</si>
  <si>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</si>
  <si>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</si>
  <si>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</si>
  <si>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</si>
  <si>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</si>
  <si>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</si>
  <si>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</si>
  <si>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</si>
  <si>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</si>
  <si>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</si>
  <si>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</si>
  <si>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</si>
  <si>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</si>
  <si>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</si>
  <si>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</si>
  <si>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</si>
  <si>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</si>
  <si>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</si>
  <si>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</si>
  <si>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</si>
  <si>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</si>
  <si>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</si>
  <si>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</si>
  <si>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</si>
  <si>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</si>
  <si>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</si>
  <si>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</si>
  <si>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</si>
  <si>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</si>
  <si>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</si>
  <si>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</si>
  <si>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</si>
  <si>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</si>
  <si>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</si>
  <si>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</si>
  <si>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</si>
  <si>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</si>
  <si>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</si>
  <si>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</si>
  <si>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</si>
  <si>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</si>
  <si>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</si>
  <si>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</si>
  <si>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</si>
  <si>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</si>
  <si>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</si>
  <si>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</si>
  <si>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</si>
  <si>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</si>
  <si>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</si>
  <si>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</si>
  <si>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</si>
  <si>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</si>
  <si>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</si>
  <si>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</si>
  <si>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</si>
  <si>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</si>
  <si>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</si>
  <si>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</si>
  <si>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</si>
  <si>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</si>
  <si>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</si>
  <si>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</si>
  <si>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</si>
  <si>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</si>
  <si>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</si>
  <si>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</si>
  <si>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</si>
  <si>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</si>
  <si>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</si>
  <si>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</si>
  <si>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</si>
  <si>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</si>
  <si>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</si>
  <si>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</si>
  <si>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</si>
  <si>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</si>
  <si>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</si>
  <si>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</si>
  <si>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</si>
  <si>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</si>
  <si>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</si>
  <si>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</si>
  <si>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</si>
  <si>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</si>
  <si>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</si>
  <si>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</si>
  <si>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</si>
  <si>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</si>
  <si>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</si>
  <si>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</si>
  <si>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</si>
  <si>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</si>
  <si>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</si>
  <si>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</si>
  <si>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</si>
  <si>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</si>
  <si>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</si>
  <si>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</si>
  <si>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</si>
  <si>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</si>
  <si>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</si>
  <si>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</si>
  <si>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</si>
  <si>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</si>
  <si>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</si>
  <si>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</si>
  <si>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</si>
  <si>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</si>
  <si>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</si>
  <si>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</si>
  <si>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</si>
  <si>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</si>
  <si>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</si>
  <si>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</si>
  <si>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</si>
  <si>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</si>
  <si>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</si>
  <si>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</si>
  <si>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</si>
  <si>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</si>
  <si>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</si>
  <si>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</si>
  <si>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</si>
  <si>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</si>
  <si>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</si>
  <si>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</si>
  <si>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</si>
  <si>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</si>
  <si>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</si>
  <si>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</si>
  <si>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</si>
  <si>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</si>
  <si>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</si>
  <si>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</si>
  <si>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</si>
  <si>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</si>
  <si>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</si>
  <si>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</si>
  <si>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</si>
  <si>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</si>
  <si>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</si>
  <si>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</si>
  <si>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</si>
  <si>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</si>
  <si>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</si>
  <si>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</si>
  <si>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</si>
  <si>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</si>
  <si>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</si>
  <si>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</si>
  <si>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</si>
  <si>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</si>
  <si>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</si>
  <si>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</si>
  <si>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</si>
  <si>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</si>
  <si>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</si>
  <si>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</si>
  <si>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</si>
  <si>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</si>
  <si>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</si>
  <si>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</si>
  <si>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</si>
  <si>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</si>
  <si>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</si>
  <si>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</si>
  <si>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</si>
  <si>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</si>
  <si>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</si>
  <si>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</si>
  <si>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</si>
  <si>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</si>
  <si>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</si>
  <si>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</si>
  <si>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</si>
  <si>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</si>
  <si>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</si>
  <si>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</si>
  <si>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</si>
  <si>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</si>
  <si>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</si>
  <si>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</si>
  <si>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</si>
  <si>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</si>
  <si>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</si>
  <si>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</si>
  <si>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</si>
  <si>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</si>
  <si>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</si>
  <si>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</si>
  <si>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</si>
  <si>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</si>
  <si>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</si>
  <si>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</si>
  <si>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</si>
  <si>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</si>
  <si>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</si>
  <si>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</si>
  <si>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</si>
  <si>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</si>
  <si>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</si>
  <si>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</si>
  <si>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</si>
  <si>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</si>
  <si>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</si>
  <si>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</si>
  <si>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</si>
  <si>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</si>
  <si>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</si>
  <si>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</si>
  <si>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</si>
  <si>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</si>
  <si>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</si>
  <si>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</si>
  <si>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</si>
  <si>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</si>
  <si>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</si>
  <si>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</si>
  <si>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</si>
  <si>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</si>
  <si>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</si>
  <si>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</si>
  <si>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</si>
  <si>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</si>
  <si>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</si>
  <si>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</si>
  <si>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</si>
  <si>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</si>
  <si>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</si>
  <si>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</si>
  <si>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</si>
  <si>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</si>
  <si>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</si>
  <si>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</si>
  <si>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</si>
  <si>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</si>
  <si>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</si>
  <si>
    <t>Esc.</t>
  </si>
  <si>
    <t>NJ.</t>
  </si>
  <si>
    <t>Unlevered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</si>
</sst>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0" fontId="22" fillId="11" borderId="0" xfId="0" applyNumberFormat="1" applyFont="1" applyFill="1" applyBorder="1" applyAlignment="1">
      <alignment horizontal="center"/>
    </xf>
    <xf numFmtId="281" fontId="22" fillId="8" borderId="0" xfId="0" applyNumberFormat="1" applyFont="1" applyFill="1" applyBorder="1"/>
    <xf numFmtId="0" fontId="2" fillId="0" borderId="9" xfId="0" applyFont="1" applyBorder="1" applyAlignment="1">
      <alignment horizontal="center"/>
    </xf>
    <xf numFmtId="9" fontId="2" fillId="8" borderId="9" xfId="2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204" fontId="111" fillId="0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8C3BAC8-E16B-C5BF-55AE-71E5B0AA1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20AD92D-6F27-B4CA-EDF5-7A937B56D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88D51B0F-0D02-1ECA-8D6A-0D5431866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8BFC6C8D-8269-F332-627C-3D91698EA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3D86D2F3-3CD8-3F6F-2A45-341A34F1F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405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406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377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372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424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318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338</v>
      </c>
      <c r="C20" s="12"/>
      <c r="D20" s="12"/>
      <c r="E20" s="12"/>
      <c r="F20" s="12"/>
      <c r="G20" s="12"/>
      <c r="H20" s="12"/>
      <c r="I20" s="12" t="s">
        <v>339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370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373</v>
      </c>
      <c r="C22" s="12"/>
      <c r="D22" s="12"/>
      <c r="E22" s="12"/>
      <c r="F22" s="12"/>
      <c r="G22" s="12"/>
      <c r="H22" s="12"/>
      <c r="I22" s="12" t="s">
        <v>374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414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379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380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338</v>
      </c>
      <c r="C37" s="12"/>
      <c r="D37" s="12"/>
      <c r="E37" s="12" t="s">
        <v>339</v>
      </c>
      <c r="F37" s="12"/>
      <c r="G37" s="12"/>
      <c r="H37" s="12" t="s">
        <v>336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337</v>
      </c>
      <c r="I38" s="12"/>
      <c r="J38" s="12"/>
    </row>
    <row r="39" spans="1:10" s="46" customFormat="1" ht="15.75">
      <c r="A39" s="12"/>
      <c r="B39" s="12" t="s">
        <v>419</v>
      </c>
      <c r="C39" s="12"/>
      <c r="D39" s="12"/>
      <c r="E39" s="12" t="s">
        <v>403</v>
      </c>
      <c r="F39" s="12"/>
      <c r="G39" s="12"/>
      <c r="H39" s="12" t="s">
        <v>404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428</v>
      </c>
      <c r="F40" s="12"/>
      <c r="G40" s="12"/>
      <c r="H40" s="12" t="s">
        <v>429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375</v>
      </c>
      <c r="C42" s="12"/>
      <c r="D42" s="12"/>
      <c r="E42" s="12" t="s">
        <v>401</v>
      </c>
      <c r="F42" s="12"/>
      <c r="G42" s="12"/>
      <c r="H42" s="12" t="s">
        <v>402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374</v>
      </c>
      <c r="F43" s="12"/>
      <c r="G43" s="12"/>
      <c r="H43" s="12" t="s">
        <v>376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C12" sqref="C12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415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397</v>
      </c>
      <c r="B11" s="394">
        <f>B29+B38</f>
        <v>5140.1330203442867</v>
      </c>
      <c r="C11" s="394">
        <f t="shared" ref="C11:AF11" si="1">C29+C38</f>
        <v>15565.497536733339</v>
      </c>
      <c r="D11" s="394">
        <f t="shared" si="1"/>
        <v>15595.01799890411</v>
      </c>
      <c r="E11" s="394">
        <f t="shared" si="1"/>
        <v>15561.175083908969</v>
      </c>
      <c r="F11" s="394">
        <f t="shared" si="1"/>
        <v>15494.32628046538</v>
      </c>
      <c r="G11" s="394">
        <f t="shared" si="1"/>
        <v>15457.947479329479</v>
      </c>
      <c r="H11" s="394">
        <f t="shared" si="1"/>
        <v>15409.660637590314</v>
      </c>
      <c r="I11" s="394">
        <f t="shared" si="1"/>
        <v>15370.467663110347</v>
      </c>
      <c r="J11" s="394">
        <f t="shared" si="1"/>
        <v>15298.511181130878</v>
      </c>
      <c r="K11" s="394">
        <f t="shared" si="1"/>
        <v>15256.478458485904</v>
      </c>
      <c r="L11" s="394">
        <f t="shared" si="1"/>
        <v>15202.509813527868</v>
      </c>
      <c r="M11" s="394">
        <f t="shared" si="1"/>
        <v>15157.325737099938</v>
      </c>
      <c r="N11" s="394">
        <f t="shared" si="1"/>
        <v>15079.648463010526</v>
      </c>
      <c r="O11" s="394">
        <f t="shared" si="1"/>
        <v>15031.283827211722</v>
      </c>
      <c r="P11" s="471">
        <f t="shared" si="1"/>
        <v>14970.951473206702</v>
      </c>
      <c r="Q11" s="394">
        <f t="shared" si="1"/>
        <v>14919.057304889859</v>
      </c>
      <c r="R11" s="394">
        <f t="shared" si="1"/>
        <v>14834.971477534733</v>
      </c>
      <c r="S11" s="394">
        <f t="shared" si="1"/>
        <v>14779.514449955881</v>
      </c>
      <c r="T11" s="394">
        <f t="shared" si="1"/>
        <v>14712.053468638362</v>
      </c>
      <c r="U11" s="394">
        <f t="shared" si="1"/>
        <v>14652.642694740842</v>
      </c>
      <c r="V11" s="394">
        <f t="shared" si="1"/>
        <v>6849.1218176498714</v>
      </c>
      <c r="W11" s="394">
        <f t="shared" si="1"/>
        <v>-985.68553851943352</v>
      </c>
      <c r="X11" s="394">
        <f t="shared" si="1"/>
        <v>-2791.4735426192674</v>
      </c>
      <c r="Y11" s="394">
        <f t="shared" si="1"/>
        <v>-2871.0317031545615</v>
      </c>
      <c r="Z11" s="394">
        <f t="shared" si="1"/>
        <v>-2946.8915774684297</v>
      </c>
      <c r="AA11" s="394">
        <f t="shared" si="1"/>
        <v>-3030.9226993174761</v>
      </c>
      <c r="AB11" s="394">
        <f t="shared" si="1"/>
        <v>-3115.3200369305841</v>
      </c>
      <c r="AC11" s="394">
        <f t="shared" si="1"/>
        <v>-3204.3147783683139</v>
      </c>
      <c r="AD11" s="394">
        <f t="shared" si="1"/>
        <v>-3289.1919886369205</v>
      </c>
      <c r="AE11" s="394">
        <f t="shared" si="1"/>
        <v>-3383.1996689533025</v>
      </c>
      <c r="AF11" s="471">
        <f t="shared" si="1"/>
        <v>-4350.562057297182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331</v>
      </c>
      <c r="B13" s="312">
        <f>B11/B12</f>
        <v>3953.9484771879129</v>
      </c>
      <c r="C13" s="312">
        <f t="shared" ref="C13:AF13" si="2">C11/C12</f>
        <v>11973.45964364103</v>
      </c>
      <c r="D13" s="312">
        <f t="shared" si="2"/>
        <v>11996.1676914647</v>
      </c>
      <c r="E13" s="312">
        <f t="shared" si="2"/>
        <v>11970.134679929975</v>
      </c>
      <c r="F13" s="312">
        <f t="shared" si="2"/>
        <v>11918.712523434908</v>
      </c>
      <c r="G13" s="312">
        <f t="shared" si="2"/>
        <v>11890.728830253445</v>
      </c>
      <c r="H13" s="312">
        <f t="shared" si="2"/>
        <v>11853.585105838703</v>
      </c>
      <c r="I13" s="312">
        <f t="shared" si="2"/>
        <v>11823.436663931036</v>
      </c>
      <c r="J13" s="312">
        <f t="shared" si="2"/>
        <v>11768.085523946829</v>
      </c>
      <c r="K13" s="312">
        <f t="shared" si="2"/>
        <v>11735.752660373772</v>
      </c>
      <c r="L13" s="312">
        <f t="shared" si="2"/>
        <v>11694.23831809836</v>
      </c>
      <c r="M13" s="312">
        <f t="shared" si="2"/>
        <v>11659.481336230721</v>
      </c>
      <c r="N13" s="312">
        <f t="shared" si="2"/>
        <v>11599.729586931173</v>
      </c>
      <c r="O13" s="312">
        <f t="shared" si="2"/>
        <v>11562.526020932093</v>
      </c>
      <c r="P13" s="398">
        <f t="shared" si="2"/>
        <v>11516.116517851309</v>
      </c>
      <c r="Q13" s="312">
        <f t="shared" si="2"/>
        <v>11476.197926838353</v>
      </c>
      <c r="R13" s="312">
        <f t="shared" si="2"/>
        <v>11411.516521180563</v>
      </c>
      <c r="S13" s="312">
        <f t="shared" si="2"/>
        <v>11368.857269196831</v>
      </c>
      <c r="T13" s="312">
        <f t="shared" si="2"/>
        <v>11316.964206644892</v>
      </c>
      <c r="U13" s="312">
        <f t="shared" si="2"/>
        <v>11271.263611339109</v>
      </c>
      <c r="V13" s="312">
        <f t="shared" si="2"/>
        <v>5268.5552443460547</v>
      </c>
      <c r="W13" s="312">
        <f t="shared" si="2"/>
        <v>-758.21964501494881</v>
      </c>
      <c r="X13" s="312">
        <f t="shared" si="2"/>
        <v>-2147.2873404763595</v>
      </c>
      <c r="Y13" s="312">
        <f t="shared" si="2"/>
        <v>-2208.485925503509</v>
      </c>
      <c r="Z13" s="312">
        <f t="shared" si="2"/>
        <v>-2266.8396749757148</v>
      </c>
      <c r="AA13" s="312">
        <f t="shared" si="2"/>
        <v>-2331.4789994749817</v>
      </c>
      <c r="AB13" s="312">
        <f t="shared" si="2"/>
        <v>-2396.4000284081417</v>
      </c>
      <c r="AC13" s="312">
        <f t="shared" si="2"/>
        <v>-2464.8575218217798</v>
      </c>
      <c r="AD13" s="312">
        <f t="shared" si="2"/>
        <v>-2530.1476835668618</v>
      </c>
      <c r="AE13" s="312">
        <f t="shared" si="2"/>
        <v>-2602.4612838102325</v>
      </c>
      <c r="AF13" s="398">
        <f t="shared" si="2"/>
        <v>-3346.5861979209089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355</v>
      </c>
      <c r="B19" s="404">
        <v>75505.500901236432</v>
      </c>
      <c r="S19" s="18"/>
      <c r="AF19" s="65"/>
      <c r="AG19"/>
    </row>
    <row r="20" spans="1:33">
      <c r="A20" s="11" t="s">
        <v>354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73695.267808978911</v>
      </c>
      <c r="D24" s="48">
        <f t="shared" ref="D24:AF24" si="3">C45</f>
        <v>67862.769401598242</v>
      </c>
      <c r="E24" s="48">
        <f t="shared" si="3"/>
        <v>61501.896345958266</v>
      </c>
      <c r="F24" s="48">
        <f t="shared" si="3"/>
        <v>54619.857661063208</v>
      </c>
      <c r="G24" s="48">
        <f t="shared" si="3"/>
        <v>47185.225554356803</v>
      </c>
      <c r="H24" s="48">
        <f t="shared" si="3"/>
        <v>39137.098314046918</v>
      </c>
      <c r="I24" s="48">
        <f t="shared" si="3"/>
        <v>30428.27862863418</v>
      </c>
      <c r="J24" s="48">
        <f t="shared" si="3"/>
        <v>20996.795404026823</v>
      </c>
      <c r="K24" s="48">
        <f t="shared" si="3"/>
        <v>10799.338174145742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774.37595539605502</v>
      </c>
      <c r="Y24" s="48">
        <f t="shared" si="3"/>
        <v>3034.6388274408</v>
      </c>
      <c r="Z24" s="48">
        <f t="shared" si="3"/>
        <v>5553.663871943123</v>
      </c>
      <c r="AA24" s="48">
        <f t="shared" si="3"/>
        <v>8350.5632559597107</v>
      </c>
      <c r="AB24" s="48">
        <f t="shared" si="3"/>
        <v>11456.602889386228</v>
      </c>
      <c r="AC24" s="48">
        <f t="shared" si="3"/>
        <v>14898.570514077464</v>
      </c>
      <c r="AD24" s="48">
        <f t="shared" si="3"/>
        <v>18709.994599976504</v>
      </c>
      <c r="AE24" s="48">
        <f t="shared" si="3"/>
        <v>22917.069944271301</v>
      </c>
      <c r="AF24" s="48">
        <f t="shared" si="3"/>
        <v>27564.329635662209</v>
      </c>
      <c r="AG24"/>
    </row>
    <row r="25" spans="1:33">
      <c r="A25" s="48" t="s">
        <v>332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2864.3308444196591</v>
      </c>
      <c r="D26" s="48">
        <f t="shared" si="4"/>
        <v>3121.8179754782977</v>
      </c>
      <c r="E26" s="48">
        <f t="shared" si="4"/>
        <v>3367.6757214707904</v>
      </c>
      <c r="F26" s="48">
        <f t="shared" si="4"/>
        <v>3647.5347041526329</v>
      </c>
      <c r="G26" s="48">
        <f t="shared" si="4"/>
        <v>3945.4864991653594</v>
      </c>
      <c r="H26" s="48">
        <f t="shared" si="4"/>
        <v>4268.0229339650905</v>
      </c>
      <c r="I26" s="48">
        <f t="shared" si="4"/>
        <v>4616.7546612554361</v>
      </c>
      <c r="J26" s="48">
        <f t="shared" si="4"/>
        <v>4995.3395259448334</v>
      </c>
      <c r="K26" s="48">
        <f t="shared" si="4"/>
        <v>5410.1619149703511</v>
      </c>
      <c r="L26" s="48">
        <f t="shared" si="4"/>
        <v>0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-379.10982250747441</v>
      </c>
      <c r="X26" s="48">
        <f t="shared" si="4"/>
        <v>-1106.4644812792126</v>
      </c>
      <c r="Y26" s="48">
        <f t="shared" si="4"/>
        <v>-1233.39082166363</v>
      </c>
      <c r="Z26" s="48">
        <f t="shared" si="4"/>
        <v>-1368.4823296367449</v>
      </c>
      <c r="AA26" s="48">
        <f t="shared" si="4"/>
        <v>-1519.6661122572077</v>
      </c>
      <c r="AB26" s="48">
        <f t="shared" si="4"/>
        <v>-1683.7716489953164</v>
      </c>
      <c r="AC26" s="48">
        <f t="shared" si="4"/>
        <v>-1866.4806504938661</v>
      </c>
      <c r="AD26" s="48">
        <f t="shared" si="4"/>
        <v>-2056.9867231123353</v>
      </c>
      <c r="AE26" s="48">
        <f t="shared" si="4"/>
        <v>-2272.5376885842343</v>
      </c>
      <c r="AF26" s="48">
        <f t="shared" si="4"/>
        <v>-2841.5675632445455</v>
      </c>
      <c r="AG26"/>
    </row>
    <row r="27" spans="1:33">
      <c r="A27" s="48" t="s">
        <v>58</v>
      </c>
      <c r="B27"/>
      <c r="C27" s="392">
        <f t="shared" ref="C27:AF27" si="5">C24*(C23-B41)/(C41-B41)*$E$64</f>
        <v>1561.733963020416</v>
      </c>
      <c r="D27" s="392">
        <f t="shared" si="5"/>
        <v>1438.1329351270206</v>
      </c>
      <c r="E27" s="392">
        <f t="shared" si="5"/>
        <v>1314.0569109983433</v>
      </c>
      <c r="F27" s="392">
        <f t="shared" si="5"/>
        <v>1157.4920520776</v>
      </c>
      <c r="G27" s="392">
        <f t="shared" si="5"/>
        <v>999.93895798068456</v>
      </c>
      <c r="H27" s="392">
        <f t="shared" si="5"/>
        <v>829.38480947713128</v>
      </c>
      <c r="I27" s="392">
        <f t="shared" si="5"/>
        <v>650.13425922382316</v>
      </c>
      <c r="J27" s="392">
        <f t="shared" si="5"/>
        <v>444.95948616478762</v>
      </c>
      <c r="K27" s="392">
        <f t="shared" si="5"/>
        <v>228.85720760826663</v>
      </c>
      <c r="L27" s="392">
        <f t="shared" si="5"/>
        <v>0</v>
      </c>
      <c r="M27" s="392">
        <f t="shared" si="5"/>
        <v>0</v>
      </c>
      <c r="N27" s="392">
        <f t="shared" si="5"/>
        <v>0</v>
      </c>
      <c r="O27" s="392">
        <f t="shared" si="5"/>
        <v>0</v>
      </c>
      <c r="P27" s="392">
        <f t="shared" si="5"/>
        <v>0</v>
      </c>
      <c r="Q27" s="392">
        <f t="shared" si="5"/>
        <v>0</v>
      </c>
      <c r="R27" s="392">
        <f t="shared" si="5"/>
        <v>0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16.410405520516399</v>
      </c>
      <c r="Y27" s="392">
        <f t="shared" si="5"/>
        <v>64.838458007068468</v>
      </c>
      <c r="Z27" s="392">
        <f t="shared" si="5"/>
        <v>117.69202753282208</v>
      </c>
      <c r="AA27" s="392">
        <f t="shared" si="5"/>
        <v>176.96330625985854</v>
      </c>
      <c r="AB27" s="392">
        <f t="shared" si="5"/>
        <v>242.78581739562321</v>
      </c>
      <c r="AC27" s="392">
        <f t="shared" si="5"/>
        <v>318.32464868875894</v>
      </c>
      <c r="AD27" s="392">
        <f t="shared" si="5"/>
        <v>396.49810474196789</v>
      </c>
      <c r="AE27" s="392">
        <f t="shared" si="5"/>
        <v>485.65352333955764</v>
      </c>
      <c r="AF27" s="392">
        <f t="shared" si="5"/>
        <v>584.1372321420472</v>
      </c>
      <c r="AG27"/>
    </row>
    <row r="28" spans="1:33">
      <c r="A28" s="48" t="s">
        <v>59</v>
      </c>
      <c r="B28"/>
      <c r="C28" s="163">
        <f t="shared" ref="C28:AF28" si="6">MAX(C24+C25+B44+C27-0.5*C13,0)</f>
        <v>70830.936964559252</v>
      </c>
      <c r="D28" s="163">
        <f t="shared" si="6"/>
        <v>64740.951426119944</v>
      </c>
      <c r="E28" s="163">
        <f t="shared" si="6"/>
        <v>58134.220624487476</v>
      </c>
      <c r="F28" s="163">
        <f t="shared" si="6"/>
        <v>50972.322956910575</v>
      </c>
      <c r="G28" s="163">
        <f t="shared" si="6"/>
        <v>43239.739055191443</v>
      </c>
      <c r="H28" s="163">
        <f t="shared" si="6"/>
        <v>34869.075380081827</v>
      </c>
      <c r="I28" s="163">
        <f t="shared" si="6"/>
        <v>25811.523967378744</v>
      </c>
      <c r="J28" s="163">
        <f t="shared" si="6"/>
        <v>16001.45587808199</v>
      </c>
      <c r="K28" s="163">
        <f t="shared" si="6"/>
        <v>5389.1762591753904</v>
      </c>
      <c r="L28" s="163">
        <f t="shared" si="6"/>
        <v>0</v>
      </c>
      <c r="M28" s="163">
        <f t="shared" si="6"/>
        <v>0</v>
      </c>
      <c r="N28" s="163">
        <f t="shared" si="6"/>
        <v>0</v>
      </c>
      <c r="O28" s="163">
        <f t="shared" si="6"/>
        <v>0</v>
      </c>
      <c r="P28" s="163">
        <f t="shared" si="6"/>
        <v>0</v>
      </c>
      <c r="Q28" s="163">
        <f t="shared" si="6"/>
        <v>0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379.10982250747441</v>
      </c>
      <c r="X28" s="163">
        <f t="shared" si="6"/>
        <v>1880.8404366752675</v>
      </c>
      <c r="Y28" s="163">
        <f t="shared" si="6"/>
        <v>4268.0296491044301</v>
      </c>
      <c r="Z28" s="163">
        <f t="shared" si="6"/>
        <v>6922.1462015798679</v>
      </c>
      <c r="AA28" s="163">
        <f t="shared" si="6"/>
        <v>9870.2293682169184</v>
      </c>
      <c r="AB28" s="163">
        <f t="shared" si="6"/>
        <v>13140.374538381544</v>
      </c>
      <c r="AC28" s="163">
        <f t="shared" si="6"/>
        <v>16765.05116457133</v>
      </c>
      <c r="AD28" s="163">
        <f t="shared" si="6"/>
        <v>20766.981323088839</v>
      </c>
      <c r="AE28" s="163">
        <f t="shared" si="6"/>
        <v>25189.607632855535</v>
      </c>
      <c r="AF28" s="163">
        <f t="shared" si="6"/>
        <v>30405.897198906754</v>
      </c>
      <c r="AG28"/>
    </row>
    <row r="29" spans="1:33">
      <c r="A29" s="48" t="s">
        <v>334</v>
      </c>
      <c r="B29"/>
      <c r="C29" s="163">
        <f>(C23-B41)/(C41-B41)*IS!D32+(B41-B32)/(B41-Assumptions!H17)*IS!C32</f>
        <v>7730.249755911419</v>
      </c>
      <c r="D29" s="163">
        <f>(D23-C41)/(D41-C41)*IS!E32+(C41-C32)/(C41-B41)*IS!D32</f>
        <v>7781.5846202739722</v>
      </c>
      <c r="E29" s="163">
        <f>(E23-D41)/(E41-D41)*IS!F32+(D41-D32)/(D41-C41)*IS!E32</f>
        <v>7791.4565279089729</v>
      </c>
      <c r="F29" s="163">
        <f>(F23-E41)/(F41-E41)*IS!G32+(E41-E32)/(E41-D41)*IS!F32</f>
        <v>7726.3798544465299</v>
      </c>
      <c r="G29" s="163">
        <f>(G23-F41)/(G41-F41)*IS!H32+(F41-F32)/(F41-E41)*IS!G32</f>
        <v>7713.7092897324737</v>
      </c>
      <c r="H29" s="163">
        <f>(H23-G41)/(H41-G41)*IS!I32+(G41-G32)/(G41-F41)*IS!H32</f>
        <v>7689.798515598708</v>
      </c>
      <c r="I29" s="163">
        <f>(I23-H41)/(I41-H41)*IS!J32+(H41-H32)/(H41-G41)*IS!I32</f>
        <v>7696.6926476632289</v>
      </c>
      <c r="J29" s="163">
        <f>(J23-I41)/(J41-I41)*IS!K32+(I41-I32)/(I41-H41)*IS!J32</f>
        <v>7629.4819120021803</v>
      </c>
      <c r="K29" s="163">
        <f>(K23-J41)/(K41-J41)*IS!L32+(J41-J32)/(J41-I41)*IS!K32</f>
        <v>7613.9459971274773</v>
      </c>
      <c r="L29" s="163">
        <f>(L23-K41)/(L41-K41)*IS!M32+(K41-K32)/(K41-J41)*IS!L32</f>
        <v>7587.2220693965428</v>
      </c>
      <c r="M29" s="163">
        <f>(M23-L41)/(M41-L41)*IS!N32+(L41-L32)/(L41-K41)*IS!M32</f>
        <v>7590.7823728332532</v>
      </c>
      <c r="N29" s="163">
        <f>(N23-M41)/(N41-M41)*IS!O32+(M41-M32)/(M41-L41)*IS!N32</f>
        <v>7521.1804973803883</v>
      </c>
      <c r="O29" s="163">
        <f>(O23-N41)/(O41-N41)*IS!P32+(N41-N32)/(N41-M41)*IS!O32</f>
        <v>7502.4358144109829</v>
      </c>
      <c r="P29" s="163">
        <f>(P23-O41)/(P41-O41)*IS!Q32+(O41-O32)/(O41-N41)*IS!P32</f>
        <v>7472.561143163055</v>
      </c>
      <c r="Q29" s="163">
        <f>(Q23-P41)/(Q41-P41)*IS!R32+(P41-P32)/(P41-O41)*IS!Q32</f>
        <v>7472.3883348503232</v>
      </c>
      <c r="R29" s="163">
        <f>(R23-Q41)/(R41-Q41)*IS!S32+(Q41-Q32)/(Q41-P41)*IS!R32</f>
        <v>7400.1068639753958</v>
      </c>
      <c r="S29" s="163">
        <f>(S23-R41)/(S41-R41)*IS!T32+(R41-R32)/(R41-Q41)*IS!S32</f>
        <v>7377.768229123667</v>
      </c>
      <c r="T29" s="163">
        <f>(T23-S41)/(T41-S41)*IS!U32+(S41-S32)/(S41-R41)*IS!T32</f>
        <v>7344.3641304446073</v>
      </c>
      <c r="U29" s="163">
        <f>(U23-T41)/(U41-T41)*IS!V32+(T41-T32)/(T41-S41)*IS!U32</f>
        <v>7340.0103916065054</v>
      </c>
      <c r="V29" s="163">
        <f>(V23-U41)/(V41-U41)*IS!W32+(U41-U32)/(U41-T41)*IS!V32</f>
        <v>4703.3562955889156</v>
      </c>
      <c r="W29" s="163">
        <f>(W23-V41)/(W41-V41)*IS!X32+(V41-V32)/(V41-U41)*IS!W32</f>
        <v>385.28203832948361</v>
      </c>
      <c r="X29" s="163">
        <f>(X23-W41)/(X41-W41)*IS!Y32+(W41-W32)/(W41-V41)*IS!X32</f>
        <v>-1382.4165761737399</v>
      </c>
      <c r="Y29" s="163">
        <f>(Y23-X41)/(Y41-X41)*IS!Z32+(X41-X32)/(X41-W41)*IS!Y32</f>
        <v>-1426.7603659518641</v>
      </c>
      <c r="Z29" s="163">
        <f>(Z23-Y41)/(Z41-Y41)*IS!AA32+(Y41-Y32)/(Y41-X41)*IS!Z32</f>
        <v>-1458.3789242155931</v>
      </c>
      <c r="AA29" s="163">
        <f>(AA23-Z41)/(AA41-Z41)*IS!AB32+(Z41-Z32)/(Z41-Y41)*IS!AA32</f>
        <v>-1500.9803543207972</v>
      </c>
      <c r="AB29" s="163">
        <f>(AB23-AA41)/(AB41-AA41)*IS!AC32+(AA41-AA32)/(AA41-Z41)*IS!AB32</f>
        <v>-1542.769623194821</v>
      </c>
      <c r="AC29" s="163">
        <f>(AC23-AB41)/(AC41-AB41)*IS!AD32+(AB41-AB32)/(AB41-AA41)*IS!AC32</f>
        <v>-1592.3601718539612</v>
      </c>
      <c r="AD29" s="163">
        <f>(AD23-AC41)/(AD41-AC41)*IS!AE32+(AC41-AC32)/(AC41-AB41)*IS!AD32</f>
        <v>-1627.7530662728682</v>
      </c>
      <c r="AE29" s="163">
        <f>(AE23-AD41)/(AE41-AD41)*IS!AF32+(AD41-AD32)/(AD41-AC41)*IS!AE32</f>
        <v>-1675.4091671893402</v>
      </c>
      <c r="AF29" s="163">
        <f>(AF23-AE41)/(AG23-AE41)*IS!AG32+(AE41-AE32)/(AE41-AD41)*IS!AF32</f>
        <v>-3482.4629910123103</v>
      </c>
      <c r="AG29"/>
    </row>
    <row r="30" spans="1:33">
      <c r="A30" s="412" t="s">
        <v>0</v>
      </c>
      <c r="B30" s="414"/>
      <c r="C30" s="413">
        <f>IF(C28&gt;0.1,C29/(C27+C26+B44)," ")</f>
        <v>1.2912307697160663</v>
      </c>
      <c r="D30" s="413">
        <f t="shared" ref="D30:AF30" si="7">IF(D28&gt;0.1,D29/(D27+D26+C44)," ")</f>
        <v>1.2973450889337936</v>
      </c>
      <c r="E30" s="413">
        <f t="shared" si="7"/>
        <v>1.3018160173206255</v>
      </c>
      <c r="F30" s="413">
        <f t="shared" si="7"/>
        <v>1.2965124948277258</v>
      </c>
      <c r="G30" s="413">
        <f t="shared" si="7"/>
        <v>1.2974325459523663</v>
      </c>
      <c r="H30" s="413">
        <f t="shared" si="7"/>
        <v>1.2974637541195793</v>
      </c>
      <c r="I30" s="413">
        <f t="shared" si="7"/>
        <v>1.3019383224072252</v>
      </c>
      <c r="J30" s="413">
        <f t="shared" si="7"/>
        <v>1.2966394400307479</v>
      </c>
      <c r="K30" s="413">
        <f t="shared" si="7"/>
        <v>1.2975641558698261</v>
      </c>
      <c r="L30" s="413" t="str">
        <f t="shared" si="7"/>
        <v xml:space="preserve"> </v>
      </c>
      <c r="M30" s="413" t="str">
        <f t="shared" si="7"/>
        <v xml:space="preserve"> </v>
      </c>
      <c r="N30" s="413" t="str">
        <f t="shared" si="7"/>
        <v xml:space="preserve"> </v>
      </c>
      <c r="O30" s="413" t="str">
        <f t="shared" si="7"/>
        <v xml:space="preserve"> </v>
      </c>
      <c r="P30" s="413" t="str">
        <f t="shared" si="7"/>
        <v xml:space="preserve"> </v>
      </c>
      <c r="Q30" s="413" t="str">
        <f t="shared" si="7"/>
        <v xml:space="preserve"> 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-1.0162808121962799</v>
      </c>
      <c r="X30" s="413">
        <f t="shared" si="7"/>
        <v>1.2875934674556049</v>
      </c>
      <c r="Y30" s="413">
        <f t="shared" si="7"/>
        <v>1.2920710514617197</v>
      </c>
      <c r="Z30" s="413">
        <f t="shared" si="7"/>
        <v>1.2867067224162796</v>
      </c>
      <c r="AA30" s="413">
        <f t="shared" si="7"/>
        <v>1.2875778462158989</v>
      </c>
      <c r="AB30" s="413">
        <f t="shared" si="7"/>
        <v>1.2875726964664067</v>
      </c>
      <c r="AC30" s="413">
        <f t="shared" si="7"/>
        <v>1.2920504797997778</v>
      </c>
      <c r="AD30" s="413">
        <f t="shared" si="7"/>
        <v>1.2866862095402671</v>
      </c>
      <c r="AE30" s="413">
        <f t="shared" si="7"/>
        <v>1.2875574192876289</v>
      </c>
      <c r="AF30" s="413">
        <f t="shared" si="7"/>
        <v>2.08120322325827</v>
      </c>
      <c r="AG30"/>
    </row>
    <row r="31" spans="1:33">
      <c r="A31" s="11"/>
      <c r="B31" s="388"/>
      <c r="C31" s="53"/>
      <c r="AG31"/>
    </row>
    <row r="32" spans="1:33">
      <c r="A32" s="411" t="s">
        <v>420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75505.500901236432</v>
      </c>
      <c r="C33" s="48">
        <f>C28</f>
        <v>70830.936964559252</v>
      </c>
      <c r="D33" s="48">
        <f t="shared" ref="D33:AF33" si="8">D28</f>
        <v>64740.951426119944</v>
      </c>
      <c r="E33" s="48">
        <f t="shared" si="8"/>
        <v>58134.220624487476</v>
      </c>
      <c r="F33" s="48">
        <f t="shared" si="8"/>
        <v>50972.322956910575</v>
      </c>
      <c r="G33" s="48">
        <f t="shared" si="8"/>
        <v>43239.739055191443</v>
      </c>
      <c r="H33" s="48">
        <f t="shared" si="8"/>
        <v>34869.075380081827</v>
      </c>
      <c r="I33" s="48">
        <f t="shared" si="8"/>
        <v>25811.523967378744</v>
      </c>
      <c r="J33" s="48">
        <f t="shared" si="8"/>
        <v>16001.45587808199</v>
      </c>
      <c r="K33" s="48">
        <f t="shared" si="8"/>
        <v>5389.1762591753904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379.10982250747441</v>
      </c>
      <c r="X33" s="48">
        <f t="shared" si="8"/>
        <v>1880.8404366752675</v>
      </c>
      <c r="Y33" s="48">
        <f t="shared" si="8"/>
        <v>4268.0296491044301</v>
      </c>
      <c r="Z33" s="48">
        <f t="shared" si="8"/>
        <v>6922.1462015798679</v>
      </c>
      <c r="AA33" s="48">
        <f t="shared" si="8"/>
        <v>9870.2293682169184</v>
      </c>
      <c r="AB33" s="48">
        <f t="shared" si="8"/>
        <v>13140.374538381544</v>
      </c>
      <c r="AC33" s="48">
        <f t="shared" si="8"/>
        <v>16765.05116457133</v>
      </c>
      <c r="AD33" s="48">
        <f t="shared" si="8"/>
        <v>20766.981323088839</v>
      </c>
      <c r="AE33" s="48">
        <f t="shared" si="8"/>
        <v>25189.607632855535</v>
      </c>
      <c r="AF33" s="48">
        <f t="shared" si="8"/>
        <v>30405.897198906754</v>
      </c>
      <c r="AG33"/>
    </row>
    <row r="34" spans="1:39">
      <c r="A34" s="48" t="s">
        <v>332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1810.2330922575202</v>
      </c>
      <c r="C35" s="48">
        <f>C33-C37</f>
        <v>2968.1675629610108</v>
      </c>
      <c r="D35" s="48">
        <f t="shared" ref="D35:AF35" si="9">D33-D37</f>
        <v>3239.0550801616773</v>
      </c>
      <c r="E35" s="48">
        <f t="shared" si="9"/>
        <v>3514.3629634242679</v>
      </c>
      <c r="F35" s="48">
        <f t="shared" si="9"/>
        <v>3787.0974025537726</v>
      </c>
      <c r="G35" s="48">
        <f t="shared" si="9"/>
        <v>4102.6407411445252</v>
      </c>
      <c r="H35" s="48">
        <f t="shared" si="9"/>
        <v>4440.7967514476477</v>
      </c>
      <c r="I35" s="48">
        <f t="shared" si="9"/>
        <v>4814.7285633519205</v>
      </c>
      <c r="J35" s="48">
        <f t="shared" si="9"/>
        <v>5202.1177039362483</v>
      </c>
      <c r="K35" s="48">
        <f t="shared" si="9"/>
        <v>5389.1762591753904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-395.26613288858061</v>
      </c>
      <c r="X35" s="48">
        <f t="shared" si="9"/>
        <v>-1153.7983907655325</v>
      </c>
      <c r="Y35" s="48">
        <f t="shared" si="9"/>
        <v>-1285.6342228386929</v>
      </c>
      <c r="Z35" s="48">
        <f t="shared" si="9"/>
        <v>-1428.4170543798427</v>
      </c>
      <c r="AA35" s="48">
        <f t="shared" si="9"/>
        <v>-1586.3735211693092</v>
      </c>
      <c r="AB35" s="48">
        <f t="shared" si="9"/>
        <v>-1758.1959756959204</v>
      </c>
      <c r="AC35" s="48">
        <f t="shared" si="9"/>
        <v>-1944.9434354051737</v>
      </c>
      <c r="AD35" s="48">
        <f t="shared" si="9"/>
        <v>-2150.0886211824618</v>
      </c>
      <c r="AE35" s="48">
        <f t="shared" si="9"/>
        <v>-2374.7220028066731</v>
      </c>
      <c r="AF35" s="48">
        <f t="shared" si="9"/>
        <v>-1885.7178602130916</v>
      </c>
      <c r="AG35"/>
    </row>
    <row r="36" spans="1:39">
      <c r="A36" s="48" t="s">
        <v>58</v>
      </c>
      <c r="B36" s="392">
        <f>B33*(B32-Assumptions!H17)/365.25*$E$64</f>
        <v>2143.7153849303813</v>
      </c>
      <c r="C36" s="392">
        <f t="shared" ref="C36:AF36" si="10">C33*(C32-C23)/(C41-B41)*$E$64</f>
        <v>3018.5622588595052</v>
      </c>
      <c r="D36" s="392">
        <f t="shared" si="10"/>
        <v>2759.0287655706738</v>
      </c>
      <c r="E36" s="392">
        <f t="shared" si="10"/>
        <v>2470.7043765407184</v>
      </c>
      <c r="F36" s="392">
        <f t="shared" si="10"/>
        <v>2172.2588591636822</v>
      </c>
      <c r="G36" s="392">
        <f t="shared" si="10"/>
        <v>1842.7236739821997</v>
      </c>
      <c r="H36" s="392">
        <f t="shared" si="10"/>
        <v>1485.9958014717065</v>
      </c>
      <c r="I36" s="392">
        <f t="shared" si="10"/>
        <v>1096.9897686135967</v>
      </c>
      <c r="J36" s="392">
        <f t="shared" si="10"/>
        <v>681.9250580371654</v>
      </c>
      <c r="K36" s="392">
        <f t="shared" si="10"/>
        <v>229.66749783965261</v>
      </c>
      <c r="L36" s="392">
        <f t="shared" si="10"/>
        <v>0</v>
      </c>
      <c r="M36" s="392">
        <f t="shared" si="10"/>
        <v>0</v>
      </c>
      <c r="N36" s="392">
        <f t="shared" si="10"/>
        <v>0</v>
      </c>
      <c r="O36" s="392">
        <f t="shared" si="10"/>
        <v>0</v>
      </c>
      <c r="P36" s="392">
        <f t="shared" si="10"/>
        <v>0</v>
      </c>
      <c r="Q36" s="392">
        <f t="shared" si="10"/>
        <v>0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16.156310381106206</v>
      </c>
      <c r="X36" s="392">
        <f t="shared" si="10"/>
        <v>80.15472052735285</v>
      </c>
      <c r="Y36" s="392">
        <f t="shared" si="10"/>
        <v>181.3912600869383</v>
      </c>
      <c r="Z36" s="392">
        <f t="shared" si="10"/>
        <v>294.99721689198589</v>
      </c>
      <c r="AA36" s="392">
        <f t="shared" si="10"/>
        <v>420.63402143181969</v>
      </c>
      <c r="AB36" s="392">
        <f t="shared" si="10"/>
        <v>559.99596149184913</v>
      </c>
      <c r="AC36" s="392">
        <f t="shared" si="10"/>
        <v>712.51467449428162</v>
      </c>
      <c r="AD36" s="392">
        <f t="shared" si="10"/>
        <v>885.0147793990327</v>
      </c>
      <c r="AE36" s="392">
        <f t="shared" si="10"/>
        <v>1073.4913609015557</v>
      </c>
      <c r="AF36" s="392">
        <f t="shared" si="10"/>
        <v>212.42476125263624</v>
      </c>
      <c r="AG36"/>
    </row>
    <row r="37" spans="1:39">
      <c r="A37" s="48" t="s">
        <v>59</v>
      </c>
      <c r="B37" s="163">
        <f>MAX(B33+B34+B36-B13,0)</f>
        <v>73695.267808978911</v>
      </c>
      <c r="C37" s="163">
        <f>MAX(C33+C34+C36-0.5*C13,0)</f>
        <v>67862.769401598242</v>
      </c>
      <c r="D37" s="163">
        <f t="shared" ref="D37:AF37" si="11">MAX(D33+D34+D36-0.5*D13,0)</f>
        <v>61501.896345958266</v>
      </c>
      <c r="E37" s="163">
        <f t="shared" si="11"/>
        <v>54619.857661063208</v>
      </c>
      <c r="F37" s="163">
        <f t="shared" si="11"/>
        <v>47185.225554356803</v>
      </c>
      <c r="G37" s="163">
        <f t="shared" si="11"/>
        <v>39137.098314046918</v>
      </c>
      <c r="H37" s="163">
        <f t="shared" si="11"/>
        <v>30428.27862863418</v>
      </c>
      <c r="I37" s="163">
        <f t="shared" si="11"/>
        <v>20996.795404026823</v>
      </c>
      <c r="J37" s="163">
        <f t="shared" si="11"/>
        <v>10799.338174145742</v>
      </c>
      <c r="K37" s="163">
        <f t="shared" si="11"/>
        <v>0</v>
      </c>
      <c r="L37" s="163">
        <f t="shared" si="11"/>
        <v>0</v>
      </c>
      <c r="M37" s="163">
        <f t="shared" si="11"/>
        <v>0</v>
      </c>
      <c r="N37" s="163">
        <f t="shared" si="11"/>
        <v>0</v>
      </c>
      <c r="O37" s="163">
        <f t="shared" si="11"/>
        <v>0</v>
      </c>
      <c r="P37" s="163">
        <f t="shared" si="11"/>
        <v>0</v>
      </c>
      <c r="Q37" s="163">
        <f t="shared" si="11"/>
        <v>0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774.37595539605502</v>
      </c>
      <c r="X37" s="163">
        <f t="shared" si="11"/>
        <v>3034.6388274408</v>
      </c>
      <c r="Y37" s="163">
        <f t="shared" si="11"/>
        <v>5553.663871943123</v>
      </c>
      <c r="Z37" s="163">
        <f t="shared" si="11"/>
        <v>8350.5632559597107</v>
      </c>
      <c r="AA37" s="163">
        <f t="shared" si="11"/>
        <v>11456.602889386228</v>
      </c>
      <c r="AB37" s="163">
        <f t="shared" si="11"/>
        <v>14898.570514077464</v>
      </c>
      <c r="AC37" s="163">
        <f t="shared" si="11"/>
        <v>18709.994599976504</v>
      </c>
      <c r="AD37" s="163">
        <f t="shared" si="11"/>
        <v>22917.069944271301</v>
      </c>
      <c r="AE37" s="163">
        <f t="shared" si="11"/>
        <v>27564.329635662209</v>
      </c>
      <c r="AF37" s="163">
        <f t="shared" si="11"/>
        <v>32291.615059119846</v>
      </c>
      <c r="AG37"/>
    </row>
    <row r="38" spans="1:39">
      <c r="A38" s="48" t="s">
        <v>334</v>
      </c>
      <c r="B38" s="163">
        <f>(B32-Assumptions!H17)/(Debt!B41-Assumptions!H17)*IS!C32</f>
        <v>5140.1330203442867</v>
      </c>
      <c r="C38" s="163">
        <f>(C32-C23)/(C41-B41)*IS!D32</f>
        <v>7835.2477808219201</v>
      </c>
      <c r="D38" s="163">
        <f>(D32-D23)/(D41-C41)*IS!E32</f>
        <v>7813.4333786301377</v>
      </c>
      <c r="E38" s="163">
        <f>(E32-E23)/(E41-D41)*IS!F32</f>
        <v>7769.7185559999971</v>
      </c>
      <c r="F38" s="163">
        <f>(F32-F23)/(F41-E41)*IS!G32</f>
        <v>7767.9464260188506</v>
      </c>
      <c r="G38" s="163">
        <f>(G32-G23)/(G41-F41)*IS!H32</f>
        <v>7744.2381895970047</v>
      </c>
      <c r="H38" s="163">
        <f>(H32-H23)/(H41-G41)*IS!I32</f>
        <v>7719.8621219916067</v>
      </c>
      <c r="I38" s="163">
        <f>(I32-I23)/(I41-H41)*IS!J32</f>
        <v>7673.7750154471178</v>
      </c>
      <c r="J38" s="163">
        <f>(J32-J23)/(J41-I41)*IS!K32</f>
        <v>7669.0292691286968</v>
      </c>
      <c r="K38" s="163">
        <f>(K32-K23)/(K41-J41)*IS!L32</f>
        <v>7642.532461358428</v>
      </c>
      <c r="L38" s="163">
        <f>(L32-L23)/(L41-K41)*IS!M32</f>
        <v>7615.287744131324</v>
      </c>
      <c r="M38" s="163">
        <f>(M32-M23)/(M41-L41)*IS!N32</f>
        <v>7566.5433642666858</v>
      </c>
      <c r="N38" s="163">
        <f>(N32-N23)/(N41-M41)*IS!O32</f>
        <v>7558.4679656301387</v>
      </c>
      <c r="O38" s="163">
        <f>(O32-O23)/(O41-N41)*IS!P32</f>
        <v>7528.8480128007395</v>
      </c>
      <c r="P38" s="163">
        <f>(P32-P23)/(P41-O41)*IS!Q32</f>
        <v>7498.3903300436468</v>
      </c>
      <c r="Q38" s="163">
        <f>(Q32-Q23)/(Q41-P41)*IS!R32</f>
        <v>7446.6689700395364</v>
      </c>
      <c r="R38" s="163">
        <f>(R32-R23)/(R41-Q41)*IS!S32</f>
        <v>7434.8646135593372</v>
      </c>
      <c r="S38" s="163">
        <f>(S32-S23)/(S41-R41)*IS!T32</f>
        <v>7401.7462208322149</v>
      </c>
      <c r="T38" s="163">
        <f>(T32-T23)/(T41-S41)*IS!U32</f>
        <v>7367.6893381937543</v>
      </c>
      <c r="U38" s="163">
        <f>(U32-U23)/(U41-T41)*IS!V32</f>
        <v>7312.6323031343363</v>
      </c>
      <c r="V38" s="163">
        <f>(V32-V23)/(V41-U41)*IS!W32</f>
        <v>2145.7655220609558</v>
      </c>
      <c r="W38" s="163">
        <f>(W32-W23)/(W41-V41)*IS!X32</f>
        <v>-1370.9675768489171</v>
      </c>
      <c r="X38" s="163">
        <f>(X32-X23)/(X41-W41)*IS!Y32</f>
        <v>-1409.0569664455272</v>
      </c>
      <c r="Y38" s="163">
        <f>(Y32-Y23)/(Y41-X41)*IS!Z32</f>
        <v>-1444.2713372026974</v>
      </c>
      <c r="Z38" s="163">
        <f>(Z32-Z23)/(Z41-Y41)*IS!AA32</f>
        <v>-1488.5126532528366</v>
      </c>
      <c r="AA38" s="163">
        <f>(AA32-AA23)/(AA41-Z41)*IS!AB32</f>
        <v>-1529.9423449966791</v>
      </c>
      <c r="AB38" s="163">
        <f>(AB32-AB23)/(AB41-AA41)*IS!AC32</f>
        <v>-1572.5504137357632</v>
      </c>
      <c r="AC38" s="163">
        <f>(AC32-AC23)/(AC41-AB41)*IS!AD32</f>
        <v>-1611.9546065143527</v>
      </c>
      <c r="AD38" s="163">
        <f>(AD32-AD23)/(AD41-AC41)*IS!AE32</f>
        <v>-1661.4389223640524</v>
      </c>
      <c r="AE38" s="163">
        <f>(AE32-AE23)/(AE41-AD41)*IS!AF32</f>
        <v>-1707.7905017639621</v>
      </c>
      <c r="AF38" s="163">
        <f>(AF32-AF23)/(AG23-AE41)*IS!AG32</f>
        <v>-868.09906628487181</v>
      </c>
      <c r="AG38"/>
    </row>
    <row r="39" spans="1:39">
      <c r="A39" s="412" t="s">
        <v>0</v>
      </c>
      <c r="B39" s="413">
        <f t="shared" ref="B39:AF39" si="12">IF(B37&gt;0.1,B38/(B36+B35)," ")</f>
        <v>1.3000000000000038</v>
      </c>
      <c r="C39" s="413">
        <f t="shared" si="12"/>
        <v>1.3087692302839358</v>
      </c>
      <c r="D39" s="413">
        <f t="shared" si="12"/>
        <v>1.3026549110662085</v>
      </c>
      <c r="E39" s="413">
        <f t="shared" si="12"/>
        <v>1.2981839826793748</v>
      </c>
      <c r="F39" s="413">
        <f t="shared" si="12"/>
        <v>1.3034875051722734</v>
      </c>
      <c r="G39" s="413">
        <f t="shared" si="12"/>
        <v>1.3025674540476315</v>
      </c>
      <c r="H39" s="413">
        <f t="shared" si="12"/>
        <v>1.3025362458804202</v>
      </c>
      <c r="I39" s="413">
        <f t="shared" si="12"/>
        <v>1.2980616775927745</v>
      </c>
      <c r="J39" s="413">
        <f t="shared" si="12"/>
        <v>1.3033605599692528</v>
      </c>
      <c r="K39" s="413" t="str">
        <f t="shared" si="12"/>
        <v xml:space="preserve"> </v>
      </c>
      <c r="L39" s="413" t="str">
        <f t="shared" si="12"/>
        <v xml:space="preserve"> </v>
      </c>
      <c r="M39" s="413" t="str">
        <f t="shared" si="12"/>
        <v xml:space="preserve"> </v>
      </c>
      <c r="N39" s="413" t="str">
        <f t="shared" si="12"/>
        <v xml:space="preserve"> </v>
      </c>
      <c r="O39" s="413" t="str">
        <f t="shared" si="12"/>
        <v xml:space="preserve"> </v>
      </c>
      <c r="P39" s="413" t="str">
        <f t="shared" si="12"/>
        <v xml:space="preserve"> </v>
      </c>
      <c r="Q39" s="413" t="str">
        <f t="shared" si="12"/>
        <v xml:space="preserve"> 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3.6162808121962802</v>
      </c>
      <c r="X39" s="413">
        <f t="shared" si="12"/>
        <v>1.3124065325443948</v>
      </c>
      <c r="Y39" s="413">
        <f t="shared" si="12"/>
        <v>1.3079289485382799</v>
      </c>
      <c r="Z39" s="413">
        <f t="shared" si="12"/>
        <v>1.3132932775837214</v>
      </c>
      <c r="AA39" s="413">
        <f t="shared" si="12"/>
        <v>1.3124221537841034</v>
      </c>
      <c r="AB39" s="413">
        <f t="shared" si="12"/>
        <v>1.3124273035335938</v>
      </c>
      <c r="AC39" s="413">
        <f t="shared" si="12"/>
        <v>1.30794952020022</v>
      </c>
      <c r="AD39" s="413">
        <f t="shared" si="12"/>
        <v>1.3133137904597334</v>
      </c>
      <c r="AE39" s="413">
        <f t="shared" si="12"/>
        <v>1.312442580712367</v>
      </c>
      <c r="AF39" s="413">
        <f t="shared" si="12"/>
        <v>0.51879677674173408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73695.267808978911</v>
      </c>
      <c r="C42" s="48">
        <f>C37</f>
        <v>67862.769401598242</v>
      </c>
      <c r="D42" s="48">
        <f t="shared" ref="D42:AF42" si="14">D37</f>
        <v>61501.896345958266</v>
      </c>
      <c r="E42" s="48">
        <f t="shared" si="14"/>
        <v>54619.857661063208</v>
      </c>
      <c r="F42" s="48">
        <f t="shared" si="14"/>
        <v>47185.225554356803</v>
      </c>
      <c r="G42" s="48">
        <f t="shared" si="14"/>
        <v>39137.098314046918</v>
      </c>
      <c r="H42" s="48">
        <f t="shared" si="14"/>
        <v>30428.27862863418</v>
      </c>
      <c r="I42" s="48">
        <f t="shared" si="14"/>
        <v>20996.795404026823</v>
      </c>
      <c r="J42" s="48">
        <f t="shared" si="14"/>
        <v>10799.338174145742</v>
      </c>
      <c r="K42" s="48">
        <f t="shared" si="14"/>
        <v>0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774.37595539605502</v>
      </c>
      <c r="X42" s="48">
        <f t="shared" si="14"/>
        <v>3034.6388274408</v>
      </c>
      <c r="Y42" s="48">
        <f t="shared" si="14"/>
        <v>5553.663871943123</v>
      </c>
      <c r="Z42" s="48">
        <f t="shared" si="14"/>
        <v>8350.5632559597107</v>
      </c>
      <c r="AA42" s="48">
        <f t="shared" si="14"/>
        <v>11456.602889386228</v>
      </c>
      <c r="AB42" s="48">
        <f t="shared" si="14"/>
        <v>14898.570514077464</v>
      </c>
      <c r="AC42" s="48">
        <f t="shared" si="14"/>
        <v>18709.994599976504</v>
      </c>
      <c r="AD42" s="48">
        <f t="shared" si="14"/>
        <v>22917.069944271301</v>
      </c>
      <c r="AE42" s="48">
        <f t="shared" si="14"/>
        <v>27564.329635662209</v>
      </c>
      <c r="AF42" s="48">
        <f t="shared" si="14"/>
        <v>32291.615059119846</v>
      </c>
    </row>
    <row r="43" spans="1:39">
      <c r="A43" s="48" t="s">
        <v>332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1560.6650143804295</v>
      </c>
      <c r="C44" s="392">
        <f t="shared" ref="C44:AF44" si="15">C42*(C41-C32)/(C41-B41)*$E$64</f>
        <v>1438.1329351270206</v>
      </c>
      <c r="D44" s="392">
        <f t="shared" si="15"/>
        <v>1303.3347074958554</v>
      </c>
      <c r="E44" s="392">
        <f t="shared" si="15"/>
        <v>1154.329505487224</v>
      </c>
      <c r="F44" s="392">
        <f t="shared" si="15"/>
        <v>999.93895798068456</v>
      </c>
      <c r="G44" s="392">
        <f t="shared" si="15"/>
        <v>829.38480947713128</v>
      </c>
      <c r="H44" s="392">
        <f t="shared" si="15"/>
        <v>644.82941148626139</v>
      </c>
      <c r="I44" s="392">
        <f t="shared" si="15"/>
        <v>443.74374986379092</v>
      </c>
      <c r="J44" s="392">
        <f t="shared" si="15"/>
        <v>228.85720760826663</v>
      </c>
      <c r="K44" s="392">
        <f t="shared" si="15"/>
        <v>0</v>
      </c>
      <c r="L44" s="392">
        <f t="shared" si="15"/>
        <v>0</v>
      </c>
      <c r="M44" s="392">
        <f t="shared" si="15"/>
        <v>0</v>
      </c>
      <c r="N44" s="392">
        <f t="shared" si="15"/>
        <v>0</v>
      </c>
      <c r="O44" s="392">
        <f t="shared" si="15"/>
        <v>0</v>
      </c>
      <c r="P44" s="392">
        <f t="shared" si="15"/>
        <v>0</v>
      </c>
      <c r="Q44" s="392">
        <f t="shared" si="15"/>
        <v>0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16.410405520516399</v>
      </c>
      <c r="X44" s="392">
        <f t="shared" si="15"/>
        <v>64.309400904807106</v>
      </c>
      <c r="Y44" s="392">
        <f t="shared" si="15"/>
        <v>117.37046461606573</v>
      </c>
      <c r="Z44" s="392">
        <f t="shared" si="15"/>
        <v>176.96330625985854</v>
      </c>
      <c r="AA44" s="392">
        <f t="shared" si="15"/>
        <v>242.78581739562321</v>
      </c>
      <c r="AB44" s="392">
        <f t="shared" si="15"/>
        <v>315.72724089421695</v>
      </c>
      <c r="AC44" s="392">
        <f t="shared" si="15"/>
        <v>395.41477658693515</v>
      </c>
      <c r="AD44" s="392">
        <f t="shared" si="15"/>
        <v>485.65352333955764</v>
      </c>
      <c r="AE44" s="392">
        <f t="shared" si="15"/>
        <v>584.1372321420472</v>
      </c>
      <c r="AF44" s="392">
        <f t="shared" si="15"/>
        <v>1834.8714967839605</v>
      </c>
    </row>
    <row r="45" spans="1:39">
      <c r="A45" s="48" t="s">
        <v>59</v>
      </c>
      <c r="B45" s="48">
        <f>B42+B43</f>
        <v>73695.267808978911</v>
      </c>
      <c r="C45" s="48">
        <f t="shared" ref="C45:AF45" si="16">C42+C43</f>
        <v>67862.769401598242</v>
      </c>
      <c r="D45" s="48">
        <f t="shared" si="16"/>
        <v>61501.896345958266</v>
      </c>
      <c r="E45" s="48">
        <f t="shared" si="16"/>
        <v>54619.857661063208</v>
      </c>
      <c r="F45" s="48">
        <f t="shared" si="16"/>
        <v>47185.225554356803</v>
      </c>
      <c r="G45" s="48">
        <f t="shared" si="16"/>
        <v>39137.098314046918</v>
      </c>
      <c r="H45" s="48">
        <f t="shared" si="16"/>
        <v>30428.27862863418</v>
      </c>
      <c r="I45" s="48">
        <f t="shared" si="16"/>
        <v>20996.795404026823</v>
      </c>
      <c r="J45" s="48">
        <f t="shared" si="16"/>
        <v>10799.338174145742</v>
      </c>
      <c r="K45" s="48">
        <f t="shared" si="16"/>
        <v>0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774.37595539605502</v>
      </c>
      <c r="X45" s="48">
        <f t="shared" si="16"/>
        <v>3034.6388274408</v>
      </c>
      <c r="Y45" s="48">
        <f t="shared" si="16"/>
        <v>5553.663871943123</v>
      </c>
      <c r="Z45" s="48">
        <f t="shared" si="16"/>
        <v>8350.5632559597107</v>
      </c>
      <c r="AA45" s="48">
        <f t="shared" si="16"/>
        <v>11456.602889386228</v>
      </c>
      <c r="AB45" s="48">
        <f t="shared" si="16"/>
        <v>14898.570514077464</v>
      </c>
      <c r="AC45" s="48">
        <f t="shared" si="16"/>
        <v>18709.994599976504</v>
      </c>
      <c r="AD45" s="48">
        <f t="shared" si="16"/>
        <v>22917.069944271301</v>
      </c>
      <c r="AE45" s="48">
        <f t="shared" si="16"/>
        <v>27564.329635662209</v>
      </c>
      <c r="AF45" s="48">
        <f t="shared" si="16"/>
        <v>32291.615059119846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392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1810.2330922575202</v>
      </c>
      <c r="C48" s="163">
        <f t="shared" ref="C48:AF48" si="17">SUM(C35,C26)</f>
        <v>5832.49840738067</v>
      </c>
      <c r="D48" s="163">
        <f t="shared" si="17"/>
        <v>6360.8730556399751</v>
      </c>
      <c r="E48" s="163">
        <f t="shared" si="17"/>
        <v>6882.0386848950584</v>
      </c>
      <c r="F48" s="163">
        <f t="shared" si="17"/>
        <v>7434.6321067064055</v>
      </c>
      <c r="G48" s="163">
        <f t="shared" si="17"/>
        <v>8048.1272403098847</v>
      </c>
      <c r="H48" s="163">
        <f t="shared" si="17"/>
        <v>8708.8196854127382</v>
      </c>
      <c r="I48" s="163">
        <f t="shared" si="17"/>
        <v>9431.4832246073565</v>
      </c>
      <c r="J48" s="163">
        <f t="shared" si="17"/>
        <v>10197.457229881082</v>
      </c>
      <c r="K48" s="163">
        <f t="shared" si="17"/>
        <v>10799.338174145742</v>
      </c>
      <c r="L48" s="163">
        <f t="shared" si="17"/>
        <v>0</v>
      </c>
      <c r="M48" s="163">
        <f t="shared" si="17"/>
        <v>0</v>
      </c>
      <c r="N48" s="163">
        <f t="shared" si="17"/>
        <v>0</v>
      </c>
      <c r="O48" s="163">
        <f t="shared" si="17"/>
        <v>0</v>
      </c>
      <c r="P48" s="163">
        <f t="shared" si="17"/>
        <v>0</v>
      </c>
      <c r="Q48" s="163">
        <f t="shared" si="17"/>
        <v>0</v>
      </c>
      <c r="R48" s="163">
        <f t="shared" si="17"/>
        <v>0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-774.37595539605502</v>
      </c>
      <c r="X48" s="163">
        <f t="shared" si="17"/>
        <v>-2260.2628720447451</v>
      </c>
      <c r="Y48" s="163">
        <f t="shared" si="17"/>
        <v>-2519.025044502323</v>
      </c>
      <c r="Z48" s="163">
        <f t="shared" si="17"/>
        <v>-2796.8993840165876</v>
      </c>
      <c r="AA48" s="163">
        <f t="shared" si="17"/>
        <v>-3106.039633426517</v>
      </c>
      <c r="AB48" s="163">
        <f t="shared" si="17"/>
        <v>-3441.9676246912368</v>
      </c>
      <c r="AC48" s="163">
        <f t="shared" si="17"/>
        <v>-3811.4240858990397</v>
      </c>
      <c r="AD48" s="163">
        <f t="shared" si="17"/>
        <v>-4207.0753442947971</v>
      </c>
      <c r="AE48" s="163">
        <f t="shared" si="17"/>
        <v>-4647.2596913909074</v>
      </c>
      <c r="AF48" s="163">
        <f t="shared" si="17"/>
        <v>-4727.2854234576371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2143.7153849303813</v>
      </c>
      <c r="C49" s="392">
        <f t="shared" ref="C49:AF49" si="18">C27+C36+B44</f>
        <v>6140.9612362603511</v>
      </c>
      <c r="D49" s="392">
        <f t="shared" si="18"/>
        <v>5635.2946358247145</v>
      </c>
      <c r="E49" s="392">
        <f t="shared" si="18"/>
        <v>5088.095995034917</v>
      </c>
      <c r="F49" s="392">
        <f t="shared" si="18"/>
        <v>4484.080416728506</v>
      </c>
      <c r="G49" s="392">
        <f t="shared" si="18"/>
        <v>3842.6015899435688</v>
      </c>
      <c r="H49" s="392">
        <f t="shared" si="18"/>
        <v>3144.7654204259688</v>
      </c>
      <c r="I49" s="392">
        <f t="shared" si="18"/>
        <v>2391.9534393236813</v>
      </c>
      <c r="J49" s="392">
        <f t="shared" si="18"/>
        <v>1570.6282940657441</v>
      </c>
      <c r="K49" s="392">
        <f t="shared" si="18"/>
        <v>687.38191305618591</v>
      </c>
      <c r="L49" s="392">
        <f t="shared" si="18"/>
        <v>0</v>
      </c>
      <c r="M49" s="392">
        <f t="shared" si="18"/>
        <v>0</v>
      </c>
      <c r="N49" s="392">
        <f t="shared" si="18"/>
        <v>0</v>
      </c>
      <c r="O49" s="392">
        <f t="shared" si="18"/>
        <v>0</v>
      </c>
      <c r="P49" s="392">
        <f t="shared" si="18"/>
        <v>0</v>
      </c>
      <c r="Q49" s="392">
        <f t="shared" si="18"/>
        <v>0</v>
      </c>
      <c r="R49" s="392">
        <f t="shared" si="18"/>
        <v>0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16.156310381106206</v>
      </c>
      <c r="X49" s="392">
        <f t="shared" si="18"/>
        <v>112.97553156838566</v>
      </c>
      <c r="Y49" s="392">
        <f t="shared" si="18"/>
        <v>310.53911899881388</v>
      </c>
      <c r="Z49" s="392">
        <f t="shared" si="18"/>
        <v>530.05970904087371</v>
      </c>
      <c r="AA49" s="392">
        <f t="shared" si="18"/>
        <v>774.56063395153672</v>
      </c>
      <c r="AB49" s="392">
        <f t="shared" si="18"/>
        <v>1045.5675962830956</v>
      </c>
      <c r="AC49" s="392">
        <f t="shared" si="18"/>
        <v>1346.5665640772575</v>
      </c>
      <c r="AD49" s="392">
        <f t="shared" si="18"/>
        <v>1676.9276607279357</v>
      </c>
      <c r="AE49" s="392">
        <f t="shared" si="18"/>
        <v>2044.7984075806708</v>
      </c>
      <c r="AF49" s="392">
        <f t="shared" si="18"/>
        <v>1380.6992255367306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3953.9484771879015</v>
      </c>
      <c r="C50" s="49">
        <f t="shared" si="19"/>
        <v>11973.459643641021</v>
      </c>
      <c r="D50" s="49">
        <f t="shared" si="19"/>
        <v>11996.167691464689</v>
      </c>
      <c r="E50" s="49">
        <f t="shared" si="19"/>
        <v>11970.134679929975</v>
      </c>
      <c r="F50" s="49">
        <f t="shared" si="19"/>
        <v>11918.712523434911</v>
      </c>
      <c r="G50" s="49">
        <f t="shared" si="19"/>
        <v>11890.728830253454</v>
      </c>
      <c r="H50" s="49">
        <f t="shared" si="19"/>
        <v>11853.585105838707</v>
      </c>
      <c r="I50" s="49">
        <f t="shared" si="19"/>
        <v>11823.436663931037</v>
      </c>
      <c r="J50" s="49">
        <f t="shared" si="19"/>
        <v>11768.085523946826</v>
      </c>
      <c r="K50" s="49">
        <f t="shared" si="19"/>
        <v>11486.720087201928</v>
      </c>
      <c r="L50" s="49">
        <f t="shared" si="19"/>
        <v>0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-758.21964501494881</v>
      </c>
      <c r="X50" s="49">
        <f t="shared" si="19"/>
        <v>-2147.2873404763595</v>
      </c>
      <c r="Y50" s="49">
        <f t="shared" si="19"/>
        <v>-2208.485925503509</v>
      </c>
      <c r="Z50" s="49">
        <f t="shared" si="19"/>
        <v>-2266.8396749757139</v>
      </c>
      <c r="AA50" s="49">
        <f t="shared" si="19"/>
        <v>-2331.4789994749804</v>
      </c>
      <c r="AB50" s="49">
        <f t="shared" si="19"/>
        <v>-2396.4000284081412</v>
      </c>
      <c r="AC50" s="49">
        <f t="shared" si="19"/>
        <v>-2464.857521821782</v>
      </c>
      <c r="AD50" s="49">
        <f t="shared" si="19"/>
        <v>-2530.1476835668614</v>
      </c>
      <c r="AE50" s="49">
        <f t="shared" si="19"/>
        <v>-2602.4612838102366</v>
      </c>
      <c r="AF50" s="49">
        <f t="shared" si="19"/>
        <v>-3346.5861979209067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407</v>
      </c>
      <c r="B52" s="410">
        <f>IF(B33&gt;0.1,(B38+B29)/B50," ")</f>
        <v>1.3000000000000038</v>
      </c>
      <c r="C52" s="410">
        <f t="shared" ref="C52:AF52" si="20">IF(C33&gt;0.1,(C38+C29)/C50," ")</f>
        <v>1.3000000000000009</v>
      </c>
      <c r="D52" s="410">
        <f t="shared" si="20"/>
        <v>1.3000000000000012</v>
      </c>
      <c r="E52" s="410">
        <f t="shared" si="20"/>
        <v>1.3</v>
      </c>
      <c r="F52" s="410">
        <f t="shared" si="20"/>
        <v>1.2999999999999996</v>
      </c>
      <c r="G52" s="410">
        <f t="shared" si="20"/>
        <v>1.2999999999999992</v>
      </c>
      <c r="H52" s="410">
        <f t="shared" si="20"/>
        <v>1.2999999999999996</v>
      </c>
      <c r="I52" s="410">
        <f t="shared" si="20"/>
        <v>1.2999999999999998</v>
      </c>
      <c r="J52" s="410">
        <f t="shared" si="20"/>
        <v>1.3000000000000005</v>
      </c>
      <c r="K52" s="410">
        <f t="shared" si="20"/>
        <v>1.3281840545138817</v>
      </c>
      <c r="L52" s="410" t="str">
        <f t="shared" si="20"/>
        <v xml:space="preserve"> </v>
      </c>
      <c r="M52" s="410" t="str">
        <f t="shared" si="20"/>
        <v xml:space="preserve"> </v>
      </c>
      <c r="N52" s="410" t="str">
        <f t="shared" si="20"/>
        <v xml:space="preserve"> </v>
      </c>
      <c r="O52" s="410" t="str">
        <f t="shared" si="20"/>
        <v xml:space="preserve"> </v>
      </c>
      <c r="P52" s="472" t="str">
        <f t="shared" si="20"/>
        <v xml:space="preserve"> </v>
      </c>
      <c r="Q52" s="410" t="str">
        <f t="shared" si="20"/>
        <v xml:space="preserve"> 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</v>
      </c>
      <c r="X52" s="410">
        <f t="shared" si="20"/>
        <v>1.3</v>
      </c>
      <c r="Y52" s="410">
        <f t="shared" si="20"/>
        <v>1.2999999999999998</v>
      </c>
      <c r="Z52" s="410">
        <f t="shared" si="20"/>
        <v>1.3000000000000007</v>
      </c>
      <c r="AA52" s="410">
        <f t="shared" si="20"/>
        <v>1.3000000000000007</v>
      </c>
      <c r="AB52" s="410">
        <f t="shared" si="20"/>
        <v>1.3000000000000003</v>
      </c>
      <c r="AC52" s="410">
        <f t="shared" si="20"/>
        <v>1.2999999999999989</v>
      </c>
      <c r="AD52" s="410">
        <f t="shared" si="20"/>
        <v>1.3000000000000003</v>
      </c>
      <c r="AE52" s="410">
        <f t="shared" si="20"/>
        <v>1.299999999999998</v>
      </c>
      <c r="AF52" s="472">
        <f t="shared" si="20"/>
        <v>1.3000000000000009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391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1810.2330922575202</v>
      </c>
      <c r="C56" s="163">
        <f t="shared" si="21"/>
        <v>5832.49840738067</v>
      </c>
      <c r="D56" s="163">
        <f t="shared" si="21"/>
        <v>6360.8730556399751</v>
      </c>
      <c r="E56" s="163">
        <f t="shared" si="21"/>
        <v>6882.0386848950584</v>
      </c>
      <c r="F56" s="163">
        <f t="shared" si="21"/>
        <v>7434.6321067064055</v>
      </c>
      <c r="G56" s="163">
        <f t="shared" si="21"/>
        <v>8048.1272403098847</v>
      </c>
      <c r="H56" s="163">
        <f t="shared" si="21"/>
        <v>8708.8196854127382</v>
      </c>
      <c r="I56" s="163">
        <f t="shared" si="21"/>
        <v>9431.4832246073565</v>
      </c>
      <c r="J56" s="163">
        <f t="shared" si="21"/>
        <v>10197.457229881082</v>
      </c>
      <c r="K56" s="163">
        <f t="shared" si="21"/>
        <v>10799.338174145742</v>
      </c>
      <c r="L56" s="163">
        <f t="shared" si="21"/>
        <v>0</v>
      </c>
      <c r="M56" s="163">
        <f t="shared" si="21"/>
        <v>0</v>
      </c>
      <c r="N56" s="163">
        <f t="shared" si="21"/>
        <v>0</v>
      </c>
      <c r="O56" s="163">
        <f t="shared" si="21"/>
        <v>0</v>
      </c>
      <c r="P56" s="163">
        <f t="shared" si="21"/>
        <v>0</v>
      </c>
      <c r="Q56" s="163">
        <f t="shared" si="21"/>
        <v>0</v>
      </c>
      <c r="R56" s="163">
        <f t="shared" si="21"/>
        <v>0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-774.37595539605502</v>
      </c>
      <c r="X56" s="163">
        <f t="shared" si="21"/>
        <v>-2260.2628720447451</v>
      </c>
      <c r="Y56" s="163">
        <f t="shared" si="21"/>
        <v>-2519.025044502323</v>
      </c>
      <c r="Z56" s="163">
        <f t="shared" si="21"/>
        <v>-2796.8993840165876</v>
      </c>
      <c r="AA56" s="163">
        <f t="shared" si="21"/>
        <v>-3106.039633426517</v>
      </c>
      <c r="AB56" s="163">
        <f t="shared" si="21"/>
        <v>-3441.9676246912368</v>
      </c>
      <c r="AC56" s="163">
        <f t="shared" si="21"/>
        <v>-3811.4240858990397</v>
      </c>
      <c r="AD56" s="163">
        <f t="shared" si="21"/>
        <v>-4207.0753442947971</v>
      </c>
      <c r="AE56" s="163">
        <f t="shared" si="21"/>
        <v>-4647.2596913909074</v>
      </c>
      <c r="AF56" s="163">
        <f t="shared" si="21"/>
        <v>-4727.2854234576371</v>
      </c>
    </row>
    <row r="57" spans="1:39">
      <c r="A57" s="403" t="s">
        <v>137</v>
      </c>
      <c r="B57" s="392">
        <f t="shared" ref="B57:AF57" si="22">B36+B44+B27</f>
        <v>3704.3803993108108</v>
      </c>
      <c r="C57" s="392">
        <f t="shared" si="22"/>
        <v>6018.4291570069418</v>
      </c>
      <c r="D57" s="392">
        <f t="shared" si="22"/>
        <v>5500.4964081935495</v>
      </c>
      <c r="E57" s="392">
        <f t="shared" si="22"/>
        <v>4939.0907930262856</v>
      </c>
      <c r="F57" s="392">
        <f t="shared" si="22"/>
        <v>4329.6898692219675</v>
      </c>
      <c r="G57" s="392">
        <f t="shared" si="22"/>
        <v>3672.047441440016</v>
      </c>
      <c r="H57" s="392">
        <f t="shared" si="22"/>
        <v>2960.2100224350988</v>
      </c>
      <c r="I57" s="392">
        <f t="shared" si="22"/>
        <v>2190.8677777012108</v>
      </c>
      <c r="J57" s="392">
        <f t="shared" si="22"/>
        <v>1355.7417518102197</v>
      </c>
      <c r="K57" s="392">
        <f t="shared" si="22"/>
        <v>458.52470544791925</v>
      </c>
      <c r="L57" s="392">
        <f t="shared" si="22"/>
        <v>0</v>
      </c>
      <c r="M57" s="392">
        <f t="shared" si="22"/>
        <v>0</v>
      </c>
      <c r="N57" s="392">
        <f t="shared" si="22"/>
        <v>0</v>
      </c>
      <c r="O57" s="392">
        <f t="shared" si="22"/>
        <v>0</v>
      </c>
      <c r="P57" s="392">
        <f t="shared" si="22"/>
        <v>0</v>
      </c>
      <c r="Q57" s="392">
        <f t="shared" si="22"/>
        <v>0</v>
      </c>
      <c r="R57" s="392">
        <f t="shared" si="22"/>
        <v>0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32.566715901622601</v>
      </c>
      <c r="X57" s="392">
        <f t="shared" si="22"/>
        <v>160.87452695267638</v>
      </c>
      <c r="Y57" s="392">
        <f t="shared" si="22"/>
        <v>363.60018271007249</v>
      </c>
      <c r="Z57" s="392">
        <f t="shared" si="22"/>
        <v>589.65255068466649</v>
      </c>
      <c r="AA57" s="392">
        <f t="shared" si="22"/>
        <v>840.38314508730139</v>
      </c>
      <c r="AB57" s="392">
        <f t="shared" si="22"/>
        <v>1118.5090197816894</v>
      </c>
      <c r="AC57" s="392">
        <f t="shared" si="22"/>
        <v>1426.2540997699757</v>
      </c>
      <c r="AD57" s="392">
        <f t="shared" si="22"/>
        <v>1767.1664074805581</v>
      </c>
      <c r="AE57" s="392">
        <f t="shared" si="22"/>
        <v>2143.2821163831604</v>
      </c>
      <c r="AF57" s="392">
        <f t="shared" si="22"/>
        <v>2631.4334901786442</v>
      </c>
    </row>
    <row r="58" spans="1:39">
      <c r="A58" s="49" t="s">
        <v>60</v>
      </c>
      <c r="B58" s="49">
        <f>SUM(B56:B57)</f>
        <v>5514.6134915683306</v>
      </c>
      <c r="C58" s="49">
        <f t="shared" ref="C58:AF58" si="23">SUM(C56:C57)</f>
        <v>11850.927564387612</v>
      </c>
      <c r="D58" s="49">
        <f t="shared" si="23"/>
        <v>11861.369463833526</v>
      </c>
      <c r="E58" s="49">
        <f t="shared" si="23"/>
        <v>11821.129477921344</v>
      </c>
      <c r="F58" s="49">
        <f t="shared" si="23"/>
        <v>11764.321975928373</v>
      </c>
      <c r="G58" s="49">
        <f t="shared" si="23"/>
        <v>11720.174681749901</v>
      </c>
      <c r="H58" s="49">
        <f t="shared" si="23"/>
        <v>11669.029707847836</v>
      </c>
      <c r="I58" s="49">
        <f t="shared" si="23"/>
        <v>11622.351002308567</v>
      </c>
      <c r="J58" s="49">
        <f t="shared" si="23"/>
        <v>11553.198981691301</v>
      </c>
      <c r="K58" s="49">
        <f t="shared" si="23"/>
        <v>11257.86287959366</v>
      </c>
      <c r="L58" s="49">
        <f t="shared" si="23"/>
        <v>0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-741.8092394944324</v>
      </c>
      <c r="X58" s="49">
        <f t="shared" si="23"/>
        <v>-2099.3883450920689</v>
      </c>
      <c r="Y58" s="49">
        <f t="shared" si="23"/>
        <v>-2155.4248617922503</v>
      </c>
      <c r="Z58" s="49">
        <f t="shared" si="23"/>
        <v>-2207.2468333319212</v>
      </c>
      <c r="AA58" s="49">
        <f t="shared" si="23"/>
        <v>-2265.6564883392157</v>
      </c>
      <c r="AB58" s="49">
        <f t="shared" si="23"/>
        <v>-2323.4586049095474</v>
      </c>
      <c r="AC58" s="49">
        <f t="shared" si="23"/>
        <v>-2385.169986129064</v>
      </c>
      <c r="AD58" s="49">
        <f t="shared" si="23"/>
        <v>-2439.908936814239</v>
      </c>
      <c r="AE58" s="49">
        <f t="shared" si="23"/>
        <v>-2503.977575007747</v>
      </c>
      <c r="AF58" s="49">
        <f t="shared" si="23"/>
        <v>-2095.8519332789929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59" t="s">
        <v>333</v>
      </c>
      <c r="C61" s="560"/>
      <c r="D61" s="560"/>
      <c r="E61" s="56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395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396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394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393</v>
      </c>
      <c r="C66" s="13"/>
      <c r="D66" s="13"/>
      <c r="E66" s="465">
        <f>B77</f>
        <v>-5.7736679479986934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75505.500901236432</v>
      </c>
      <c r="AA67" s="12"/>
      <c r="AB67" s="12"/>
    </row>
    <row r="68" spans="1:43">
      <c r="B68" s="336" t="s">
        <v>0</v>
      </c>
      <c r="C68" s="57"/>
      <c r="D68" s="57" t="s">
        <v>389</v>
      </c>
      <c r="E68" s="468">
        <f>AVERAGE(B52:AF52)</f>
        <v>1.3014092027256943</v>
      </c>
      <c r="AA68" s="12"/>
      <c r="AB68" s="12"/>
    </row>
    <row r="69" spans="1:43">
      <c r="B69" s="466"/>
      <c r="C69" s="58"/>
      <c r="D69" s="58" t="s">
        <v>390</v>
      </c>
      <c r="E69" s="469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-5.7736679479986934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323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96489.798429326824</v>
      </c>
      <c r="C16" s="309"/>
      <c r="D16" s="18">
        <f>$B$16*D12</f>
        <v>4824.489921466341</v>
      </c>
      <c r="E16" s="18">
        <f t="shared" ref="E16:Y16" si="0">$B$16*E12</f>
        <v>9166.5308507860482</v>
      </c>
      <c r="F16" s="18">
        <f t="shared" si="0"/>
        <v>8249.8777657074443</v>
      </c>
      <c r="G16" s="18">
        <f t="shared" si="0"/>
        <v>7429.7144790581651</v>
      </c>
      <c r="H16" s="18">
        <f t="shared" si="0"/>
        <v>6686.7430311523485</v>
      </c>
      <c r="I16" s="18">
        <f t="shared" si="0"/>
        <v>6011.3144421470615</v>
      </c>
      <c r="J16" s="18">
        <f t="shared" si="0"/>
        <v>5692.8981073302821</v>
      </c>
      <c r="K16" s="18">
        <f t="shared" si="0"/>
        <v>5702.547087173215</v>
      </c>
      <c r="L16" s="18">
        <f t="shared" si="0"/>
        <v>5692.8981073302821</v>
      </c>
      <c r="M16" s="18">
        <f t="shared" si="0"/>
        <v>5702.547087173215</v>
      </c>
      <c r="N16" s="18">
        <f t="shared" si="0"/>
        <v>5692.8981073302821</v>
      </c>
      <c r="O16" s="18">
        <f t="shared" si="0"/>
        <v>5702.547087173215</v>
      </c>
      <c r="P16" s="18">
        <f t="shared" si="0"/>
        <v>5692.8981073302821</v>
      </c>
      <c r="Q16" s="18">
        <f t="shared" si="0"/>
        <v>5702.547087173215</v>
      </c>
      <c r="R16" s="18">
        <f t="shared" si="0"/>
        <v>5692.8981073302821</v>
      </c>
      <c r="S16" s="18">
        <f t="shared" si="0"/>
        <v>2846.449053665141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3372</v>
      </c>
      <c r="C17" s="309"/>
      <c r="D17" s="306">
        <f>$B$17*D13</f>
        <v>393.40000000000003</v>
      </c>
      <c r="E17" s="306">
        <f t="shared" ref="E17:AH17" si="2">$B$17*E13</f>
        <v>674.40000000000009</v>
      </c>
      <c r="F17" s="306">
        <f t="shared" si="2"/>
        <v>674.40000000000009</v>
      </c>
      <c r="G17" s="306">
        <f t="shared" si="2"/>
        <v>674.40000000000009</v>
      </c>
      <c r="H17" s="306">
        <f t="shared" si="2"/>
        <v>674.40000000000009</v>
      </c>
      <c r="I17" s="306">
        <f t="shared" si="2"/>
        <v>281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323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99861.798429326824</v>
      </c>
      <c r="C19" s="309"/>
      <c r="D19" s="18">
        <f t="shared" ref="D19:Y19" si="5">SUM(D16:D18)</f>
        <v>5217.8899214663406</v>
      </c>
      <c r="E19" s="18">
        <f t="shared" si="5"/>
        <v>9840.9308507860478</v>
      </c>
      <c r="F19" s="18">
        <f t="shared" si="5"/>
        <v>8924.2777657074439</v>
      </c>
      <c r="G19" s="18">
        <f t="shared" si="5"/>
        <v>8104.1144790581657</v>
      </c>
      <c r="H19" s="18">
        <f t="shared" si="5"/>
        <v>7361.1430311523491</v>
      </c>
      <c r="I19" s="18">
        <f t="shared" si="5"/>
        <v>6292.3144421470615</v>
      </c>
      <c r="J19" s="18">
        <f t="shared" si="5"/>
        <v>5692.8981073302821</v>
      </c>
      <c r="K19" s="18">
        <f t="shared" si="5"/>
        <v>5702.547087173215</v>
      </c>
      <c r="L19" s="18">
        <f t="shared" si="5"/>
        <v>5692.8981073302821</v>
      </c>
      <c r="M19" s="18">
        <f t="shared" si="5"/>
        <v>5702.547087173215</v>
      </c>
      <c r="N19" s="18">
        <f t="shared" si="5"/>
        <v>5692.8981073302821</v>
      </c>
      <c r="O19" s="18">
        <f t="shared" si="5"/>
        <v>5702.547087173215</v>
      </c>
      <c r="P19" s="18">
        <f t="shared" si="5"/>
        <v>5692.8981073302821</v>
      </c>
      <c r="Q19" s="18">
        <f t="shared" si="5"/>
        <v>5702.547087173215</v>
      </c>
      <c r="R19" s="18">
        <f t="shared" si="5"/>
        <v>5692.8981073302821</v>
      </c>
      <c r="S19" s="18">
        <f t="shared" si="5"/>
        <v>2846.449053665141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99861.798429326824</v>
      </c>
      <c r="C21" s="383"/>
      <c r="D21" s="310">
        <f>B19-D19</f>
        <v>94643.908507860484</v>
      </c>
      <c r="E21" s="310">
        <f>D21-E19</f>
        <v>84802.977657074429</v>
      </c>
      <c r="F21" s="310">
        <f t="shared" ref="F21:X21" si="7">E21-F19</f>
        <v>75878.699891366981</v>
      </c>
      <c r="G21" s="310">
        <f t="shared" si="7"/>
        <v>67774.585412308821</v>
      </c>
      <c r="H21" s="310">
        <f t="shared" si="7"/>
        <v>60413.44238115647</v>
      </c>
      <c r="I21" s="310">
        <f t="shared" si="7"/>
        <v>54121.127939009406</v>
      </c>
      <c r="J21" s="310">
        <f t="shared" si="7"/>
        <v>48428.229831679128</v>
      </c>
      <c r="K21" s="310">
        <f t="shared" si="7"/>
        <v>42725.68274450591</v>
      </c>
      <c r="L21" s="310">
        <f t="shared" si="7"/>
        <v>37032.784637175631</v>
      </c>
      <c r="M21" s="310">
        <f t="shared" si="7"/>
        <v>31330.237550002417</v>
      </c>
      <c r="N21" s="310">
        <f t="shared" si="7"/>
        <v>25637.339442672135</v>
      </c>
      <c r="O21" s="310">
        <f t="shared" si="7"/>
        <v>19934.792355498921</v>
      </c>
      <c r="P21" s="310">
        <f t="shared" si="7"/>
        <v>14241.894248168639</v>
      </c>
      <c r="Q21" s="310">
        <f t="shared" si="7"/>
        <v>8539.3471609954249</v>
      </c>
      <c r="R21" s="310">
        <f t="shared" si="7"/>
        <v>2846.4490536651429</v>
      </c>
      <c r="S21" s="310">
        <f t="shared" si="7"/>
        <v>0</v>
      </c>
      <c r="T21" s="310">
        <f t="shared" si="7"/>
        <v>0</v>
      </c>
      <c r="U21" s="310">
        <f t="shared" si="7"/>
        <v>0</v>
      </c>
      <c r="V21" s="310">
        <f t="shared" si="7"/>
        <v>0</v>
      </c>
      <c r="W21" s="310">
        <f t="shared" si="7"/>
        <v>0</v>
      </c>
      <c r="X21" s="310">
        <f t="shared" si="7"/>
        <v>0</v>
      </c>
      <c r="Y21" s="310">
        <f>X21-Y19</f>
        <v>0</v>
      </c>
      <c r="Z21" s="310">
        <f t="shared" ref="Z21:AH21" si="8">Y21-Z19</f>
        <v>0</v>
      </c>
      <c r="AA21" s="310">
        <f t="shared" si="8"/>
        <v>0</v>
      </c>
      <c r="AB21" s="310">
        <f t="shared" si="8"/>
        <v>0</v>
      </c>
      <c r="AC21" s="310">
        <f t="shared" si="8"/>
        <v>0</v>
      </c>
      <c r="AD21" s="310">
        <f t="shared" si="8"/>
        <v>0</v>
      </c>
      <c r="AE21" s="310">
        <f t="shared" si="8"/>
        <v>0</v>
      </c>
      <c r="AF21" s="310">
        <f t="shared" si="8"/>
        <v>0</v>
      </c>
      <c r="AG21" s="310">
        <f t="shared" si="8"/>
        <v>0</v>
      </c>
      <c r="AH21" s="310">
        <f t="shared" si="8"/>
        <v>0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323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96489.798429326824</v>
      </c>
      <c r="C31" s="309"/>
      <c r="D31" s="18">
        <f>$B$31*D26</f>
        <v>4824.489921466341</v>
      </c>
      <c r="E31" s="18">
        <f t="shared" ref="E31:Y31" si="14">$B$31*E26</f>
        <v>9166.5308507860482</v>
      </c>
      <c r="F31" s="18">
        <f t="shared" si="14"/>
        <v>8249.8777657074443</v>
      </c>
      <c r="G31" s="18">
        <f t="shared" si="14"/>
        <v>7429.7144790581651</v>
      </c>
      <c r="H31" s="18">
        <f t="shared" si="14"/>
        <v>6686.7430311523485</v>
      </c>
      <c r="I31" s="18">
        <f t="shared" si="14"/>
        <v>6011.3144421470615</v>
      </c>
      <c r="J31" s="18">
        <f t="shared" si="14"/>
        <v>5692.8981073302821</v>
      </c>
      <c r="K31" s="18">
        <f t="shared" si="14"/>
        <v>5702.547087173215</v>
      </c>
      <c r="L31" s="18">
        <f t="shared" si="14"/>
        <v>5692.8981073302821</v>
      </c>
      <c r="M31" s="18">
        <f t="shared" si="14"/>
        <v>5702.547087173215</v>
      </c>
      <c r="N31" s="18">
        <f t="shared" si="14"/>
        <v>5692.8981073302821</v>
      </c>
      <c r="O31" s="18">
        <f t="shared" si="14"/>
        <v>5702.547087173215</v>
      </c>
      <c r="P31" s="18">
        <f t="shared" si="14"/>
        <v>5692.8981073302821</v>
      </c>
      <c r="Q31" s="18">
        <f t="shared" si="14"/>
        <v>5702.547087173215</v>
      </c>
      <c r="R31" s="18">
        <f t="shared" si="14"/>
        <v>5692.8981073302821</v>
      </c>
      <c r="S31" s="18">
        <f t="shared" si="14"/>
        <v>2846.449053665141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3372</v>
      </c>
      <c r="C32" s="309"/>
      <c r="D32" s="306">
        <f>D27*$B$32</f>
        <v>393.40000000000003</v>
      </c>
      <c r="E32" s="306">
        <f t="shared" ref="E32:AH32" si="16">E27*$B$32</f>
        <v>674.40000000000009</v>
      </c>
      <c r="F32" s="306">
        <f t="shared" si="16"/>
        <v>674.40000000000009</v>
      </c>
      <c r="G32" s="306">
        <f t="shared" si="16"/>
        <v>674.40000000000009</v>
      </c>
      <c r="H32" s="306">
        <f t="shared" si="16"/>
        <v>674.40000000000009</v>
      </c>
      <c r="I32" s="306">
        <f t="shared" si="16"/>
        <v>281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323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99861.798429326824</v>
      </c>
      <c r="C34" s="309"/>
      <c r="D34" s="18">
        <f t="shared" ref="D34:Y34" si="19">SUM(D31:D33)</f>
        <v>5217.8899214663406</v>
      </c>
      <c r="E34" s="18">
        <f t="shared" si="19"/>
        <v>9840.9308507860478</v>
      </c>
      <c r="F34" s="18">
        <f t="shared" si="19"/>
        <v>8924.2777657074439</v>
      </c>
      <c r="G34" s="18">
        <f t="shared" si="19"/>
        <v>8104.1144790581657</v>
      </c>
      <c r="H34" s="18">
        <f t="shared" si="19"/>
        <v>7361.1430311523491</v>
      </c>
      <c r="I34" s="18">
        <f t="shared" si="19"/>
        <v>6292.3144421470615</v>
      </c>
      <c r="J34" s="18">
        <f t="shared" si="19"/>
        <v>5692.8981073302821</v>
      </c>
      <c r="K34" s="18">
        <f t="shared" si="19"/>
        <v>5702.547087173215</v>
      </c>
      <c r="L34" s="18">
        <f t="shared" si="19"/>
        <v>5692.8981073302821</v>
      </c>
      <c r="M34" s="18">
        <f t="shared" si="19"/>
        <v>5702.547087173215</v>
      </c>
      <c r="N34" s="18">
        <f t="shared" si="19"/>
        <v>5692.8981073302821</v>
      </c>
      <c r="O34" s="18">
        <f t="shared" si="19"/>
        <v>5702.547087173215</v>
      </c>
      <c r="P34" s="18">
        <f t="shared" si="19"/>
        <v>5692.8981073302821</v>
      </c>
      <c r="Q34" s="18">
        <f t="shared" si="19"/>
        <v>5702.547087173215</v>
      </c>
      <c r="R34" s="18">
        <f t="shared" si="19"/>
        <v>5692.8981073302821</v>
      </c>
      <c r="S34" s="18">
        <f t="shared" si="19"/>
        <v>2846.449053665141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99861.798429326824</v>
      </c>
      <c r="C36" s="385"/>
      <c r="D36" s="310">
        <f>B34-D34</f>
        <v>94643.908507860484</v>
      </c>
      <c r="E36" s="310">
        <f>D36-E34</f>
        <v>84802.977657074429</v>
      </c>
      <c r="F36" s="310">
        <f t="shared" ref="F36:W36" si="21">E36-F34</f>
        <v>75878.699891366981</v>
      </c>
      <c r="G36" s="310">
        <f t="shared" si="21"/>
        <v>67774.585412308821</v>
      </c>
      <c r="H36" s="310">
        <f t="shared" si="21"/>
        <v>60413.44238115647</v>
      </c>
      <c r="I36" s="310">
        <f t="shared" si="21"/>
        <v>54121.127939009406</v>
      </c>
      <c r="J36" s="310">
        <f t="shared" si="21"/>
        <v>48428.229831679128</v>
      </c>
      <c r="K36" s="310">
        <f t="shared" si="21"/>
        <v>42725.68274450591</v>
      </c>
      <c r="L36" s="310">
        <f t="shared" si="21"/>
        <v>37032.784637175631</v>
      </c>
      <c r="M36" s="310">
        <f t="shared" si="21"/>
        <v>31330.237550002417</v>
      </c>
      <c r="N36" s="310">
        <f t="shared" si="21"/>
        <v>25637.339442672135</v>
      </c>
      <c r="O36" s="310">
        <f t="shared" si="21"/>
        <v>19934.792355498921</v>
      </c>
      <c r="P36" s="310">
        <f t="shared" si="21"/>
        <v>14241.894248168639</v>
      </c>
      <c r="Q36" s="310">
        <f t="shared" si="21"/>
        <v>8539.3471609954249</v>
      </c>
      <c r="R36" s="310">
        <f t="shared" si="21"/>
        <v>2846.4490536651429</v>
      </c>
      <c r="S36" s="310">
        <f t="shared" si="21"/>
        <v>0</v>
      </c>
      <c r="T36" s="310">
        <f t="shared" si="21"/>
        <v>0</v>
      </c>
      <c r="U36" s="310">
        <f t="shared" si="21"/>
        <v>0</v>
      </c>
      <c r="V36" s="310">
        <f t="shared" si="21"/>
        <v>0</v>
      </c>
      <c r="W36" s="310">
        <f t="shared" si="21"/>
        <v>0</v>
      </c>
      <c r="X36" s="310">
        <f>W36-X34</f>
        <v>0</v>
      </c>
      <c r="Y36" s="310">
        <f>X36-Y34</f>
        <v>0</v>
      </c>
      <c r="Z36" s="310">
        <f t="shared" ref="Z36:AH36" si="22">Y36-Z34</f>
        <v>0</v>
      </c>
      <c r="AA36" s="310">
        <f t="shared" si="22"/>
        <v>0</v>
      </c>
      <c r="AB36" s="310">
        <f t="shared" si="22"/>
        <v>0</v>
      </c>
      <c r="AC36" s="310">
        <f t="shared" si="22"/>
        <v>0</v>
      </c>
      <c r="AD36" s="310">
        <f t="shared" si="22"/>
        <v>0</v>
      </c>
      <c r="AE36" s="310">
        <f t="shared" si="22"/>
        <v>0</v>
      </c>
      <c r="AF36" s="310">
        <f t="shared" si="22"/>
        <v>0</v>
      </c>
      <c r="AG36" s="310">
        <f t="shared" si="22"/>
        <v>0</v>
      </c>
      <c r="AH36" s="310">
        <f t="shared" si="22"/>
        <v>0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378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323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96489.798429326824</v>
      </c>
      <c r="C45" s="309"/>
      <c r="D45" s="18">
        <f t="shared" ref="D45:Y45" si="24">D41*$B$45</f>
        <v>1688.5714725132195</v>
      </c>
      <c r="E45" s="18">
        <f t="shared" si="24"/>
        <v>2894.6939528798048</v>
      </c>
      <c r="F45" s="18">
        <f t="shared" si="24"/>
        <v>2894.6939528798048</v>
      </c>
      <c r="G45" s="18">
        <f t="shared" si="24"/>
        <v>2894.6939528798048</v>
      </c>
      <c r="H45" s="18">
        <f t="shared" si="24"/>
        <v>2894.6939528798048</v>
      </c>
      <c r="I45" s="18">
        <f t="shared" si="24"/>
        <v>2894.6939528798048</v>
      </c>
      <c r="J45" s="18">
        <f t="shared" si="24"/>
        <v>2894.6939528798048</v>
      </c>
      <c r="K45" s="18">
        <f t="shared" si="24"/>
        <v>2894.6939528798048</v>
      </c>
      <c r="L45" s="18">
        <f t="shared" si="24"/>
        <v>2894.6939528798048</v>
      </c>
      <c r="M45" s="18">
        <f t="shared" si="24"/>
        <v>2894.6939528798048</v>
      </c>
      <c r="N45" s="18">
        <f t="shared" si="24"/>
        <v>2894.6939528798048</v>
      </c>
      <c r="O45" s="18">
        <f t="shared" si="24"/>
        <v>2894.6939528798048</v>
      </c>
      <c r="P45" s="18">
        <f t="shared" si="24"/>
        <v>2894.6939528798048</v>
      </c>
      <c r="Q45" s="18">
        <f t="shared" si="24"/>
        <v>2894.6939528798048</v>
      </c>
      <c r="R45" s="18">
        <f t="shared" si="24"/>
        <v>2894.6939528798048</v>
      </c>
      <c r="S45" s="18">
        <f t="shared" si="24"/>
        <v>2894.6939528798048</v>
      </c>
      <c r="T45" s="18">
        <f t="shared" si="24"/>
        <v>2894.6939528798048</v>
      </c>
      <c r="U45" s="18">
        <f t="shared" si="24"/>
        <v>2894.6939528798048</v>
      </c>
      <c r="V45" s="18">
        <f t="shared" si="24"/>
        <v>2894.6939528798048</v>
      </c>
      <c r="W45" s="18">
        <f t="shared" si="24"/>
        <v>2894.6939528798048</v>
      </c>
      <c r="X45" s="18">
        <f t="shared" si="24"/>
        <v>2894.6939528798048</v>
      </c>
      <c r="Y45" s="18">
        <f t="shared" si="24"/>
        <v>2894.6939528798048</v>
      </c>
      <c r="Z45" s="18">
        <f t="shared" ref="Z45:AH45" si="25">Z41*$B$45</f>
        <v>2894.6939528798048</v>
      </c>
      <c r="AA45" s="18">
        <f t="shared" si="25"/>
        <v>2894.6939528798048</v>
      </c>
      <c r="AB45" s="18">
        <f t="shared" si="25"/>
        <v>2894.6939528798048</v>
      </c>
      <c r="AC45" s="18">
        <f t="shared" si="25"/>
        <v>2894.6939528798048</v>
      </c>
      <c r="AD45" s="18">
        <f t="shared" si="25"/>
        <v>2894.6939528798048</v>
      </c>
      <c r="AE45" s="18">
        <f t="shared" si="25"/>
        <v>2894.6939528798048</v>
      </c>
      <c r="AF45" s="18">
        <f t="shared" si="25"/>
        <v>2894.6939528798048</v>
      </c>
      <c r="AG45" s="18">
        <f t="shared" si="25"/>
        <v>2894.6939528798048</v>
      </c>
      <c r="AH45" s="18">
        <f t="shared" si="25"/>
        <v>1206.122480366585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3372</v>
      </c>
      <c r="C46" s="309"/>
      <c r="D46" s="306">
        <f>D42*$B$46</f>
        <v>393.40000000000003</v>
      </c>
      <c r="E46" s="306">
        <f t="shared" ref="E46:AH46" si="26">E42*$B$46</f>
        <v>674.40000000000009</v>
      </c>
      <c r="F46" s="306">
        <f t="shared" si="26"/>
        <v>674.40000000000009</v>
      </c>
      <c r="G46" s="306">
        <f t="shared" si="26"/>
        <v>674.40000000000009</v>
      </c>
      <c r="H46" s="306">
        <f t="shared" si="26"/>
        <v>674.40000000000009</v>
      </c>
      <c r="I46" s="306">
        <f t="shared" si="26"/>
        <v>281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323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99861.798429326824</v>
      </c>
      <c r="C48" s="309"/>
      <c r="D48" s="18">
        <f t="shared" ref="D48:Y48" si="29">SUM(D45:D47)</f>
        <v>2081.9714725132194</v>
      </c>
      <c r="E48" s="18">
        <f t="shared" si="29"/>
        <v>3569.0939528798049</v>
      </c>
      <c r="F48" s="18">
        <f t="shared" si="29"/>
        <v>3569.0939528798049</v>
      </c>
      <c r="G48" s="18">
        <f t="shared" si="29"/>
        <v>3569.0939528798049</v>
      </c>
      <c r="H48" s="18">
        <f t="shared" si="29"/>
        <v>3569.0939528798049</v>
      </c>
      <c r="I48" s="18">
        <f t="shared" si="29"/>
        <v>3175.6939528798048</v>
      </c>
      <c r="J48" s="18">
        <f t="shared" si="29"/>
        <v>2894.6939528798048</v>
      </c>
      <c r="K48" s="18">
        <f t="shared" si="29"/>
        <v>2894.6939528798048</v>
      </c>
      <c r="L48" s="18">
        <f t="shared" si="29"/>
        <v>2894.6939528798048</v>
      </c>
      <c r="M48" s="18">
        <f t="shared" si="29"/>
        <v>2894.6939528798048</v>
      </c>
      <c r="N48" s="18">
        <f t="shared" si="29"/>
        <v>2894.6939528798048</v>
      </c>
      <c r="O48" s="18">
        <f t="shared" si="29"/>
        <v>2894.6939528798048</v>
      </c>
      <c r="P48" s="18">
        <f t="shared" si="29"/>
        <v>2894.6939528798048</v>
      </c>
      <c r="Q48" s="18">
        <f t="shared" si="29"/>
        <v>2894.6939528798048</v>
      </c>
      <c r="R48" s="18">
        <f t="shared" si="29"/>
        <v>2894.6939528798048</v>
      </c>
      <c r="S48" s="18">
        <f t="shared" si="29"/>
        <v>2894.6939528798048</v>
      </c>
      <c r="T48" s="18">
        <f t="shared" si="29"/>
        <v>2894.6939528798048</v>
      </c>
      <c r="U48" s="18">
        <f t="shared" si="29"/>
        <v>2894.6939528798048</v>
      </c>
      <c r="V48" s="18">
        <f t="shared" si="29"/>
        <v>2894.6939528798048</v>
      </c>
      <c r="W48" s="18">
        <f t="shared" si="29"/>
        <v>2894.6939528798048</v>
      </c>
      <c r="X48" s="18">
        <f t="shared" si="29"/>
        <v>2894.6939528798048</v>
      </c>
      <c r="Y48" s="18">
        <f t="shared" si="29"/>
        <v>2894.6939528798048</v>
      </c>
      <c r="Z48" s="18">
        <f t="shared" ref="Z48:AH48" si="30">SUM(Z45:Z47)</f>
        <v>2894.6939528798048</v>
      </c>
      <c r="AA48" s="18">
        <f t="shared" si="30"/>
        <v>2894.6939528798048</v>
      </c>
      <c r="AB48" s="18">
        <f t="shared" si="30"/>
        <v>2894.6939528798048</v>
      </c>
      <c r="AC48" s="18">
        <f t="shared" si="30"/>
        <v>2894.6939528798048</v>
      </c>
      <c r="AD48" s="18">
        <f t="shared" si="30"/>
        <v>2894.6939528798048</v>
      </c>
      <c r="AE48" s="18">
        <f t="shared" si="30"/>
        <v>2894.6939528798048</v>
      </c>
      <c r="AF48" s="18">
        <f t="shared" si="30"/>
        <v>2894.6939528798048</v>
      </c>
      <c r="AG48" s="18">
        <f t="shared" si="30"/>
        <v>2894.6939528798048</v>
      </c>
      <c r="AH48" s="18">
        <f t="shared" si="30"/>
        <v>1206.122480366585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99861.798429326824</v>
      </c>
      <c r="C50" s="385"/>
      <c r="D50" s="310">
        <f>B48-D48</f>
        <v>97779.826956813602</v>
      </c>
      <c r="E50" s="310">
        <f>D50-E48</f>
        <v>94210.733003933798</v>
      </c>
      <c r="F50" s="310">
        <f t="shared" ref="F50:Y50" si="31">E50-F48</f>
        <v>90641.639051053993</v>
      </c>
      <c r="G50" s="310">
        <f t="shared" si="31"/>
        <v>87072.545098174189</v>
      </c>
      <c r="H50" s="310">
        <f t="shared" si="31"/>
        <v>83503.451145294384</v>
      </c>
      <c r="I50" s="310">
        <f t="shared" si="31"/>
        <v>80327.757192414574</v>
      </c>
      <c r="J50" s="310">
        <f t="shared" si="31"/>
        <v>77433.063239534764</v>
      </c>
      <c r="K50" s="310">
        <f t="shared" si="31"/>
        <v>74538.369286654954</v>
      </c>
      <c r="L50" s="310">
        <f t="shared" si="31"/>
        <v>71643.675333775143</v>
      </c>
      <c r="M50" s="310">
        <f t="shared" si="31"/>
        <v>68748.981380895333</v>
      </c>
      <c r="N50" s="310">
        <f t="shared" si="31"/>
        <v>65854.287428015523</v>
      </c>
      <c r="O50" s="310">
        <f t="shared" si="31"/>
        <v>62959.59347513572</v>
      </c>
      <c r="P50" s="310">
        <f t="shared" si="31"/>
        <v>60064.899522255917</v>
      </c>
      <c r="Q50" s="310">
        <f t="shared" si="31"/>
        <v>57170.205569376114</v>
      </c>
      <c r="R50" s="310">
        <f t="shared" si="31"/>
        <v>54275.511616496311</v>
      </c>
      <c r="S50" s="310">
        <f t="shared" si="31"/>
        <v>51380.817663616508</v>
      </c>
      <c r="T50" s="310">
        <f t="shared" si="31"/>
        <v>48486.123710736705</v>
      </c>
      <c r="U50" s="310">
        <f t="shared" si="31"/>
        <v>45591.429757856902</v>
      </c>
      <c r="V50" s="310">
        <f t="shared" si="31"/>
        <v>42696.735804977099</v>
      </c>
      <c r="W50" s="310">
        <f t="shared" si="31"/>
        <v>39802.041852097296</v>
      </c>
      <c r="X50" s="310">
        <f t="shared" si="31"/>
        <v>36907.347899217493</v>
      </c>
      <c r="Y50" s="310">
        <f t="shared" si="31"/>
        <v>34012.65394633769</v>
      </c>
      <c r="Z50" s="310">
        <f t="shared" ref="Z50:AH50" si="32">Y50-Z48</f>
        <v>31117.959993457887</v>
      </c>
      <c r="AA50" s="310">
        <f t="shared" si="32"/>
        <v>28223.266040578084</v>
      </c>
      <c r="AB50" s="310">
        <f t="shared" si="32"/>
        <v>25328.572087698281</v>
      </c>
      <c r="AC50" s="310">
        <f t="shared" si="32"/>
        <v>22433.878134818478</v>
      </c>
      <c r="AD50" s="310">
        <f t="shared" si="32"/>
        <v>19539.184181938675</v>
      </c>
      <c r="AE50" s="310">
        <f t="shared" si="32"/>
        <v>16644.490229058873</v>
      </c>
      <c r="AF50" s="310">
        <f t="shared" si="32"/>
        <v>13749.796276179068</v>
      </c>
      <c r="AG50" s="310">
        <f t="shared" si="32"/>
        <v>10855.102323299263</v>
      </c>
      <c r="AH50" s="310">
        <f t="shared" si="32"/>
        <v>9648.9798429326784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B24" sqref="B24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6892.1951941534444</v>
      </c>
      <c r="C10" s="19">
        <f>IS!D40</f>
        <v>12058.586047120198</v>
      </c>
      <c r="D10" s="19">
        <f>IS!E40</f>
        <v>12015.076447120195</v>
      </c>
      <c r="E10" s="19">
        <f>IS!F40</f>
        <v>11970.34315912019</v>
      </c>
      <c r="F10" s="19">
        <f>IS!G40</f>
        <v>11924.351104480196</v>
      </c>
      <c r="G10" s="19">
        <f>IS!H40</f>
        <v>12270.464184840996</v>
      </c>
      <c r="H10" s="19">
        <f>IS!I40</f>
        <v>12502.84525218542</v>
      </c>
      <c r="I10" s="19">
        <f>IS!J40</f>
        <v>12452.856078014431</v>
      </c>
      <c r="J10" s="19">
        <f>IS!K40</f>
        <v>12401.457321611857</v>
      </c>
      <c r="K10" s="19">
        <f>IS!L40</f>
        <v>12348.608497370611</v>
      </c>
      <c r="L10" s="19">
        <f>IS!M40</f>
        <v>12294.267941152615</v>
      </c>
      <c r="M10" s="19">
        <f>IS!N40</f>
        <v>12238.392775653567</v>
      </c>
      <c r="N10" s="19">
        <f>IS!O40</f>
        <v>12180.938874743148</v>
      </c>
      <c r="O10" s="19">
        <f>IS!P40</f>
        <v>12121.860826750084</v>
      </c>
      <c r="P10" s="19">
        <f>IS!Q40</f>
        <v>12061.111896660801</v>
      </c>
      <c r="Q10" s="19">
        <f>IS!R40</f>
        <v>11998.643987199268</v>
      </c>
      <c r="R10" s="19">
        <f>IS!S40</f>
        <v>11934.407598754937</v>
      </c>
      <c r="S10" s="19">
        <f>IS!T40</f>
        <v>11868.351788124339</v>
      </c>
      <c r="T10" s="19">
        <f>IS!U40</f>
        <v>11800.424126031234</v>
      </c>
      <c r="U10" s="19">
        <f>IS!V40</f>
        <v>11730.570653388868</v>
      </c>
      <c r="V10" s="19">
        <f>IS!W40</f>
        <v>1385.1115965860354</v>
      </c>
      <c r="W10" s="19">
        <f>IS!X40</f>
        <v>-5629.1374804746392</v>
      </c>
      <c r="X10" s="19">
        <f>IS!Y40</f>
        <v>-5705.1081209268941</v>
      </c>
      <c r="Y10" s="19">
        <f>IS!Z40</f>
        <v>-5783.2366272851996</v>
      </c>
      <c r="Z10" s="19">
        <f>IS!AA40</f>
        <v>-5863.5853104605985</v>
      </c>
      <c r="AA10" s="19">
        <f>IS!AB40</f>
        <v>-5946.218302190121</v>
      </c>
      <c r="AB10" s="19">
        <f>IS!AC40</f>
        <v>-6031.2016086915728</v>
      </c>
      <c r="AC10" s="19">
        <f>IS!AD40</f>
        <v>-6118.6031659085102</v>
      </c>
      <c r="AD10" s="19">
        <f>IS!AE40</f>
        <v>-6208.4928963928051</v>
      </c>
      <c r="AE10" s="19">
        <f>IS!AF40</f>
        <v>-6300.9427678734992</v>
      </c>
      <c r="AF10" s="19">
        <f>IS!AG40</f>
        <v>-4707.4553810489015</v>
      </c>
    </row>
    <row r="11" spans="1:32">
      <c r="A11" s="21" t="s">
        <v>70</v>
      </c>
      <c r="B11" s="19">
        <f>IS!C34</f>
        <v>2081.9714725132194</v>
      </c>
      <c r="C11" s="19">
        <f>IS!D34</f>
        <v>3569.0939528798049</v>
      </c>
      <c r="D11" s="19">
        <f>IS!E34</f>
        <v>3569.0939528798049</v>
      </c>
      <c r="E11" s="19">
        <f>IS!F34</f>
        <v>3569.0939528798049</v>
      </c>
      <c r="F11" s="19">
        <f>IS!G34</f>
        <v>3569.0939528798049</v>
      </c>
      <c r="G11" s="19">
        <f>IS!H34</f>
        <v>3175.6939528798048</v>
      </c>
      <c r="H11" s="19">
        <f>IS!I34</f>
        <v>2894.6939528798048</v>
      </c>
      <c r="I11" s="19">
        <f>IS!J34</f>
        <v>2894.6939528798048</v>
      </c>
      <c r="J11" s="19">
        <f>IS!K34</f>
        <v>2894.6939528798048</v>
      </c>
      <c r="K11" s="19">
        <f>IS!L34</f>
        <v>2894.6939528798048</v>
      </c>
      <c r="L11" s="19">
        <f>IS!M34</f>
        <v>2894.6939528798048</v>
      </c>
      <c r="M11" s="19">
        <f>IS!N34</f>
        <v>2894.6939528798048</v>
      </c>
      <c r="N11" s="19">
        <f>IS!O34</f>
        <v>2894.6939528798048</v>
      </c>
      <c r="O11" s="19">
        <f>IS!P34</f>
        <v>2894.6939528798048</v>
      </c>
      <c r="P11" s="19">
        <f>IS!Q34</f>
        <v>2894.6939528798048</v>
      </c>
      <c r="Q11" s="19">
        <f>IS!R34</f>
        <v>2894.6939528798048</v>
      </c>
      <c r="R11" s="19">
        <f>IS!S34</f>
        <v>2894.6939528798048</v>
      </c>
      <c r="S11" s="19">
        <f>IS!T34</f>
        <v>2894.6939528798048</v>
      </c>
      <c r="T11" s="19">
        <f>IS!U34</f>
        <v>2894.6939528798048</v>
      </c>
      <c r="U11" s="19">
        <f>IS!V34</f>
        <v>2894.6939528798048</v>
      </c>
      <c r="V11" s="19">
        <f>IS!W34</f>
        <v>2894.6939528798048</v>
      </c>
      <c r="W11" s="19">
        <f>IS!X34</f>
        <v>2894.6939528798048</v>
      </c>
      <c r="X11" s="19">
        <f>IS!Y34</f>
        <v>2894.6939528798048</v>
      </c>
      <c r="Y11" s="19">
        <f>IS!Z34</f>
        <v>2894.6939528798048</v>
      </c>
      <c r="Z11" s="19">
        <f>IS!AA34</f>
        <v>2894.6939528798048</v>
      </c>
      <c r="AA11" s="19">
        <f>IS!AB34</f>
        <v>2894.6939528798048</v>
      </c>
      <c r="AB11" s="19">
        <f>IS!AC34</f>
        <v>2894.6939528798048</v>
      </c>
      <c r="AC11" s="19">
        <f>IS!AD34</f>
        <v>2894.6939528798048</v>
      </c>
      <c r="AD11" s="19">
        <f>IS!AE34</f>
        <v>2894.6939528798048</v>
      </c>
      <c r="AE11" s="19">
        <f>IS!AF34</f>
        <v>2894.6939528798048</v>
      </c>
      <c r="AF11" s="19">
        <f>IS!AG34</f>
        <v>1206.122480366585</v>
      </c>
    </row>
    <row r="12" spans="1:32" ht="15">
      <c r="A12" s="21" t="s">
        <v>71</v>
      </c>
      <c r="B12" s="131">
        <f>-Depreciation!D34</f>
        <v>-5217.8899214663406</v>
      </c>
      <c r="C12" s="131">
        <f>-Depreciation!E34</f>
        <v>-9840.9308507860478</v>
      </c>
      <c r="D12" s="131">
        <f>-Depreciation!F34</f>
        <v>-8924.2777657074439</v>
      </c>
      <c r="E12" s="131">
        <f>-Depreciation!G34</f>
        <v>-8104.1144790581657</v>
      </c>
      <c r="F12" s="131">
        <f>-Depreciation!H34</f>
        <v>-7361.1430311523491</v>
      </c>
      <c r="G12" s="131">
        <f>-Depreciation!I34</f>
        <v>-6292.3144421470615</v>
      </c>
      <c r="H12" s="131">
        <f>-Depreciation!J34</f>
        <v>-5692.8981073302821</v>
      </c>
      <c r="I12" s="131">
        <f>-Depreciation!K34</f>
        <v>-5702.547087173215</v>
      </c>
      <c r="J12" s="131">
        <f>-Depreciation!L34</f>
        <v>-5692.8981073302821</v>
      </c>
      <c r="K12" s="131">
        <f>-Depreciation!M34</f>
        <v>-5702.547087173215</v>
      </c>
      <c r="L12" s="131">
        <f>-Depreciation!N34</f>
        <v>-5692.8981073302821</v>
      </c>
      <c r="M12" s="131">
        <f>-Depreciation!O34</f>
        <v>-5702.547087173215</v>
      </c>
      <c r="N12" s="131">
        <f>-Depreciation!P34</f>
        <v>-5692.8981073302821</v>
      </c>
      <c r="O12" s="131">
        <f>-Depreciation!Q34</f>
        <v>-5702.547087173215</v>
      </c>
      <c r="P12" s="131">
        <f>-Depreciation!R34</f>
        <v>-5692.8981073302821</v>
      </c>
      <c r="Q12" s="131">
        <f>-Depreciation!S34</f>
        <v>-2846.449053665141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3756.2767452003236</v>
      </c>
      <c r="C13" s="23">
        <f t="shared" ref="C13:W13" si="0">SUM(C10:C12)</f>
        <v>5786.7491492139543</v>
      </c>
      <c r="D13" s="23">
        <f t="shared" si="0"/>
        <v>6659.8926342925552</v>
      </c>
      <c r="E13" s="23">
        <f t="shared" si="0"/>
        <v>7435.3226329418285</v>
      </c>
      <c r="F13" s="23">
        <f t="shared" si="0"/>
        <v>8132.3020262076516</v>
      </c>
      <c r="G13" s="23">
        <f t="shared" si="0"/>
        <v>9153.8436955737379</v>
      </c>
      <c r="H13" s="23">
        <f t="shared" si="0"/>
        <v>9704.6410977349424</v>
      </c>
      <c r="I13" s="23">
        <f t="shared" si="0"/>
        <v>9645.0029437210214</v>
      </c>
      <c r="J13" s="23">
        <f t="shared" si="0"/>
        <v>9603.2531671613797</v>
      </c>
      <c r="K13" s="23">
        <f t="shared" si="0"/>
        <v>9540.7553630772018</v>
      </c>
      <c r="L13" s="23">
        <f t="shared" si="0"/>
        <v>9496.0637867021378</v>
      </c>
      <c r="M13" s="23">
        <f t="shared" si="0"/>
        <v>9430.5396413601557</v>
      </c>
      <c r="N13" s="23">
        <f t="shared" si="0"/>
        <v>9382.7347202926703</v>
      </c>
      <c r="O13" s="23">
        <f t="shared" si="0"/>
        <v>9314.0076924566747</v>
      </c>
      <c r="P13" s="23">
        <f t="shared" si="0"/>
        <v>9262.9077422103237</v>
      </c>
      <c r="Q13" s="23">
        <f t="shared" si="0"/>
        <v>12046.888886413932</v>
      </c>
      <c r="R13" s="23">
        <f t="shared" si="0"/>
        <v>14829.101551634742</v>
      </c>
      <c r="S13" s="23">
        <f t="shared" si="0"/>
        <v>14763.045741004144</v>
      </c>
      <c r="T13" s="23">
        <f t="shared" si="0"/>
        <v>14695.118078911039</v>
      </c>
      <c r="U13" s="23">
        <f t="shared" si="0"/>
        <v>14625.264606268673</v>
      </c>
      <c r="V13" s="23">
        <f t="shared" si="0"/>
        <v>4279.8055494658402</v>
      </c>
      <c r="W13" s="23">
        <f t="shared" si="0"/>
        <v>-2734.4435275948344</v>
      </c>
      <c r="X13" s="23">
        <f t="shared" ref="X13:AF13" si="1">SUM(X10:X12)</f>
        <v>-2810.4141680470893</v>
      </c>
      <c r="Y13" s="23">
        <f t="shared" si="1"/>
        <v>-2888.5426744053948</v>
      </c>
      <c r="Z13" s="23">
        <f t="shared" si="1"/>
        <v>-2968.8913575807937</v>
      </c>
      <c r="AA13" s="23">
        <f t="shared" si="1"/>
        <v>-3051.5243493103162</v>
      </c>
      <c r="AB13" s="23">
        <f t="shared" si="1"/>
        <v>-3136.507655811768</v>
      </c>
      <c r="AC13" s="23">
        <f t="shared" si="1"/>
        <v>-3223.9092130287054</v>
      </c>
      <c r="AD13" s="23">
        <f t="shared" si="1"/>
        <v>-3313.7989435130003</v>
      </c>
      <c r="AE13" s="23">
        <f t="shared" si="1"/>
        <v>-3406.2488149936944</v>
      </c>
      <c r="AF13" s="23">
        <f t="shared" si="1"/>
        <v>-3501.3329006823164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262.9393721640227</v>
      </c>
      <c r="C16" s="19">
        <f t="shared" si="2"/>
        <v>405.07244044497685</v>
      </c>
      <c r="D16" s="19">
        <f t="shared" si="2"/>
        <v>466.19248440047892</v>
      </c>
      <c r="E16" s="19">
        <f t="shared" si="2"/>
        <v>520.47258430592808</v>
      </c>
      <c r="F16" s="19">
        <f t="shared" si="2"/>
        <v>569.26114183453569</v>
      </c>
      <c r="G16" s="19">
        <f t="shared" si="2"/>
        <v>640.76905869016173</v>
      </c>
      <c r="H16" s="19">
        <f t="shared" si="2"/>
        <v>679.32487684144598</v>
      </c>
      <c r="I16" s="19">
        <f t="shared" si="2"/>
        <v>675.15020606047153</v>
      </c>
      <c r="J16" s="19">
        <f t="shared" si="2"/>
        <v>672.22772170129667</v>
      </c>
      <c r="K16" s="19">
        <f t="shared" si="2"/>
        <v>667.85287541540424</v>
      </c>
      <c r="L16" s="19">
        <f t="shared" si="2"/>
        <v>664.72446506914969</v>
      </c>
      <c r="M16" s="19">
        <f t="shared" si="2"/>
        <v>660.13777489521101</v>
      </c>
      <c r="N16" s="19">
        <f t="shared" si="2"/>
        <v>656.79143042048702</v>
      </c>
      <c r="O16" s="19">
        <f t="shared" si="2"/>
        <v>651.98053847196729</v>
      </c>
      <c r="P16" s="19">
        <f t="shared" si="2"/>
        <v>648.40354195472275</v>
      </c>
      <c r="Q16" s="19">
        <f t="shared" si="2"/>
        <v>843.28222204897531</v>
      </c>
      <c r="R16" s="19">
        <f t="shared" si="2"/>
        <v>1038.0371086144321</v>
      </c>
      <c r="S16" s="19">
        <f t="shared" si="2"/>
        <v>1033.4132018702901</v>
      </c>
      <c r="T16" s="19">
        <f t="shared" si="2"/>
        <v>1028.6582655237728</v>
      </c>
      <c r="U16" s="19">
        <f t="shared" si="2"/>
        <v>1023.7685224388072</v>
      </c>
      <c r="V16" s="19">
        <f t="shared" si="2"/>
        <v>299.58638846260885</v>
      </c>
      <c r="W16" s="19">
        <f t="shared" si="2"/>
        <v>-191.41104693163842</v>
      </c>
      <c r="X16" s="19">
        <f t="shared" si="2"/>
        <v>-196.72899176329628</v>
      </c>
      <c r="Y16" s="19">
        <f t="shared" si="2"/>
        <v>-202.19798720837767</v>
      </c>
      <c r="Z16" s="19">
        <f t="shared" si="2"/>
        <v>-207.82239503065557</v>
      </c>
      <c r="AA16" s="19">
        <f t="shared" si="2"/>
        <v>-213.60670445172215</v>
      </c>
      <c r="AB16" s="19">
        <f t="shared" si="2"/>
        <v>-219.55553590682379</v>
      </c>
      <c r="AC16" s="19">
        <f t="shared" si="2"/>
        <v>-225.67364491200939</v>
      </c>
      <c r="AD16" s="19">
        <f t="shared" si="2"/>
        <v>-231.96592604591004</v>
      </c>
      <c r="AE16" s="19">
        <f t="shared" si="2"/>
        <v>-238.43741704955863</v>
      </c>
      <c r="AF16" s="19">
        <f t="shared" si="2"/>
        <v>-245.09330304776216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191.41104693163842</v>
      </c>
      <c r="Y18" s="19">
        <f t="shared" si="4"/>
        <v>388.14003869493467</v>
      </c>
      <c r="Z18" s="19">
        <f t="shared" si="4"/>
        <v>590.33802590331231</v>
      </c>
      <c r="AA18" s="19">
        <f t="shared" si="4"/>
        <v>798.16042093396788</v>
      </c>
      <c r="AB18" s="19">
        <f t="shared" si="4"/>
        <v>1011.7671253856901</v>
      </c>
      <c r="AC18" s="19">
        <f t="shared" si="4"/>
        <v>1231.3226612925139</v>
      </c>
      <c r="AD18" s="19">
        <f t="shared" si="4"/>
        <v>1456.9963062045233</v>
      </c>
      <c r="AE18" s="19">
        <f t="shared" si="4"/>
        <v>1688.9622322504333</v>
      </c>
      <c r="AF18" s="19">
        <f t="shared" si="4"/>
        <v>1735.9886023683537</v>
      </c>
    </row>
    <row r="19" spans="1:32">
      <c r="A19" s="21" t="s">
        <v>75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191.41104693163842</v>
      </c>
      <c r="X19" s="140">
        <f t="shared" ref="X19:AF19" si="6">IF(X16&lt;0,-X16,0)</f>
        <v>196.72899176329628</v>
      </c>
      <c r="Y19" s="140">
        <f t="shared" si="6"/>
        <v>202.19798720837767</v>
      </c>
      <c r="Z19" s="140">
        <f t="shared" si="6"/>
        <v>207.82239503065557</v>
      </c>
      <c r="AA19" s="140">
        <f t="shared" si="6"/>
        <v>213.60670445172215</v>
      </c>
      <c r="AB19" s="140">
        <f t="shared" si="6"/>
        <v>219.55553590682379</v>
      </c>
      <c r="AC19" s="140">
        <f t="shared" si="6"/>
        <v>225.67364491200939</v>
      </c>
      <c r="AD19" s="140">
        <f t="shared" si="6"/>
        <v>231.96592604591004</v>
      </c>
      <c r="AE19" s="140">
        <f t="shared" si="6"/>
        <v>238.43741704955863</v>
      </c>
      <c r="AF19" s="140">
        <f t="shared" si="6"/>
        <v>245.09330304776216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0</v>
      </c>
      <c r="K20" s="476">
        <f t="shared" ref="K20:AF20" si="7">IF(-SUM(C21:J21, C20:J20)&gt;C19,0,-C19-SUM(C21:J21,C20:J20))</f>
        <v>0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-191.41104693163842</v>
      </c>
      <c r="AF20" s="476">
        <f t="shared" si="7"/>
        <v>-5.3179448316578544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0</v>
      </c>
      <c r="M22" s="133">
        <f t="shared" si="10"/>
        <v>0</v>
      </c>
      <c r="N22" s="133">
        <f t="shared" si="10"/>
        <v>0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191.41104693163842</v>
      </c>
      <c r="X22" s="133">
        <f t="shared" si="10"/>
        <v>388.14003869493467</v>
      </c>
      <c r="Y22" s="133">
        <f t="shared" si="10"/>
        <v>590.33802590331231</v>
      </c>
      <c r="Z22" s="133">
        <f t="shared" si="10"/>
        <v>798.16042093396788</v>
      </c>
      <c r="AA22" s="133">
        <f t="shared" si="10"/>
        <v>1011.7671253856901</v>
      </c>
      <c r="AB22" s="133">
        <f t="shared" si="10"/>
        <v>1231.3226612925139</v>
      </c>
      <c r="AC22" s="133">
        <f t="shared" si="10"/>
        <v>1456.9963062045233</v>
      </c>
      <c r="AD22" s="133">
        <f t="shared" si="10"/>
        <v>1688.9622322504333</v>
      </c>
      <c r="AE22" s="133">
        <f t="shared" si="10"/>
        <v>1735.9886023683537</v>
      </c>
      <c r="AF22" s="133">
        <f t="shared" si="10"/>
        <v>1975.7639605844581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262.9393721640227</v>
      </c>
      <c r="C24" s="137">
        <f t="shared" ref="C24:AF24" si="11">IF(C13&lt;0,0,C21+C16)</f>
        <v>405.07244044497685</v>
      </c>
      <c r="D24" s="137">
        <f t="shared" si="11"/>
        <v>466.19248440047892</v>
      </c>
      <c r="E24" s="137">
        <f t="shared" si="11"/>
        <v>520.47258430592808</v>
      </c>
      <c r="F24" s="137">
        <f t="shared" si="11"/>
        <v>569.26114183453569</v>
      </c>
      <c r="G24" s="137">
        <f t="shared" si="11"/>
        <v>640.76905869016173</v>
      </c>
      <c r="H24" s="137">
        <f t="shared" si="11"/>
        <v>679.32487684144598</v>
      </c>
      <c r="I24" s="137">
        <f t="shared" si="11"/>
        <v>675.15020606047153</v>
      </c>
      <c r="J24" s="137">
        <f t="shared" si="11"/>
        <v>672.22772170129667</v>
      </c>
      <c r="K24" s="137">
        <f t="shared" si="11"/>
        <v>667.85287541540424</v>
      </c>
      <c r="L24" s="137">
        <f t="shared" si="11"/>
        <v>664.72446506914969</v>
      </c>
      <c r="M24" s="137">
        <f t="shared" si="11"/>
        <v>660.13777489521101</v>
      </c>
      <c r="N24" s="137">
        <f t="shared" si="11"/>
        <v>656.79143042048702</v>
      </c>
      <c r="O24" s="137">
        <f t="shared" si="11"/>
        <v>651.98053847196729</v>
      </c>
      <c r="P24" s="137">
        <f t="shared" si="11"/>
        <v>648.40354195472275</v>
      </c>
      <c r="Q24" s="137">
        <f t="shared" si="11"/>
        <v>843.28222204897531</v>
      </c>
      <c r="R24" s="137">
        <f t="shared" si="11"/>
        <v>1038.0371086144321</v>
      </c>
      <c r="S24" s="137">
        <f t="shared" si="11"/>
        <v>1033.4132018702901</v>
      </c>
      <c r="T24" s="137">
        <f t="shared" si="11"/>
        <v>1028.6582655237728</v>
      </c>
      <c r="U24" s="137">
        <f t="shared" si="11"/>
        <v>1023.7685224388072</v>
      </c>
      <c r="V24" s="137">
        <f t="shared" si="11"/>
        <v>299.58638846260885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3756.2767452003236</v>
      </c>
      <c r="C28" s="19">
        <f t="shared" ref="C28:AF28" si="12">C13</f>
        <v>5786.7491492139543</v>
      </c>
      <c r="D28" s="19">
        <f t="shared" si="12"/>
        <v>6659.8926342925552</v>
      </c>
      <c r="E28" s="19">
        <f t="shared" si="12"/>
        <v>7435.3226329418285</v>
      </c>
      <c r="F28" s="19">
        <f t="shared" si="12"/>
        <v>8132.3020262076516</v>
      </c>
      <c r="G28" s="19">
        <f t="shared" si="12"/>
        <v>9153.8436955737379</v>
      </c>
      <c r="H28" s="19">
        <f t="shared" si="12"/>
        <v>9704.6410977349424</v>
      </c>
      <c r="I28" s="19">
        <f t="shared" si="12"/>
        <v>9645.0029437210214</v>
      </c>
      <c r="J28" s="19">
        <f t="shared" si="12"/>
        <v>9603.2531671613797</v>
      </c>
      <c r="K28" s="19">
        <f t="shared" si="12"/>
        <v>9540.7553630772018</v>
      </c>
      <c r="L28" s="19">
        <f t="shared" si="12"/>
        <v>9496.0637867021378</v>
      </c>
      <c r="M28" s="19">
        <f t="shared" si="12"/>
        <v>9430.5396413601557</v>
      </c>
      <c r="N28" s="19">
        <f t="shared" si="12"/>
        <v>9382.7347202926703</v>
      </c>
      <c r="O28" s="19">
        <f t="shared" si="12"/>
        <v>9314.0076924566747</v>
      </c>
      <c r="P28" s="19">
        <f t="shared" si="12"/>
        <v>9262.9077422103237</v>
      </c>
      <c r="Q28" s="19">
        <f t="shared" si="12"/>
        <v>12046.888886413932</v>
      </c>
      <c r="R28" s="19">
        <f t="shared" si="12"/>
        <v>14829.101551634742</v>
      </c>
      <c r="S28" s="19">
        <f t="shared" si="12"/>
        <v>14763.045741004144</v>
      </c>
      <c r="T28" s="19">
        <f t="shared" si="12"/>
        <v>14695.118078911039</v>
      </c>
      <c r="U28" s="19">
        <f t="shared" si="12"/>
        <v>14625.264606268673</v>
      </c>
      <c r="V28" s="19">
        <f t="shared" si="12"/>
        <v>4279.8055494658402</v>
      </c>
      <c r="W28" s="19">
        <f t="shared" si="12"/>
        <v>-2734.4435275948344</v>
      </c>
      <c r="X28" s="19">
        <f t="shared" si="12"/>
        <v>-2810.4141680470893</v>
      </c>
      <c r="Y28" s="19">
        <f t="shared" si="12"/>
        <v>-2888.5426744053948</v>
      </c>
      <c r="Z28" s="19">
        <f t="shared" si="12"/>
        <v>-2968.8913575807937</v>
      </c>
      <c r="AA28" s="19">
        <f t="shared" si="12"/>
        <v>-3051.5243493103162</v>
      </c>
      <c r="AB28" s="19">
        <f t="shared" si="12"/>
        <v>-3136.507655811768</v>
      </c>
      <c r="AC28" s="19">
        <f t="shared" si="12"/>
        <v>-3223.9092130287054</v>
      </c>
      <c r="AD28" s="19">
        <f t="shared" si="12"/>
        <v>-3313.7989435130003</v>
      </c>
      <c r="AE28" s="19">
        <f t="shared" si="12"/>
        <v>-3406.2488149936944</v>
      </c>
      <c r="AF28" s="19">
        <f t="shared" si="12"/>
        <v>-3501.3329006823164</v>
      </c>
    </row>
    <row r="29" spans="1:32" ht="15">
      <c r="A29" s="21" t="s">
        <v>78</v>
      </c>
      <c r="B29" s="135">
        <f>-B24</f>
        <v>-262.9393721640227</v>
      </c>
      <c r="C29" s="135">
        <f t="shared" ref="C29:AF29" si="13">-C24</f>
        <v>-405.07244044497685</v>
      </c>
      <c r="D29" s="135">
        <f t="shared" si="13"/>
        <v>-466.19248440047892</v>
      </c>
      <c r="E29" s="135">
        <f t="shared" si="13"/>
        <v>-520.47258430592808</v>
      </c>
      <c r="F29" s="135">
        <f t="shared" si="13"/>
        <v>-569.26114183453569</v>
      </c>
      <c r="G29" s="135">
        <f t="shared" si="13"/>
        <v>-640.76905869016173</v>
      </c>
      <c r="H29" s="135">
        <f t="shared" si="13"/>
        <v>-679.32487684144598</v>
      </c>
      <c r="I29" s="135">
        <f t="shared" si="13"/>
        <v>-675.15020606047153</v>
      </c>
      <c r="J29" s="135">
        <f t="shared" si="13"/>
        <v>-672.22772170129667</v>
      </c>
      <c r="K29" s="135">
        <f t="shared" si="13"/>
        <v>-667.85287541540424</v>
      </c>
      <c r="L29" s="135">
        <f t="shared" si="13"/>
        <v>-664.72446506914969</v>
      </c>
      <c r="M29" s="135">
        <f t="shared" si="13"/>
        <v>-660.13777489521101</v>
      </c>
      <c r="N29" s="135">
        <f t="shared" si="13"/>
        <v>-656.79143042048702</v>
      </c>
      <c r="O29" s="135">
        <f t="shared" si="13"/>
        <v>-651.98053847196729</v>
      </c>
      <c r="P29" s="135">
        <f t="shared" si="13"/>
        <v>-648.40354195472275</v>
      </c>
      <c r="Q29" s="135">
        <f t="shared" si="13"/>
        <v>-843.28222204897531</v>
      </c>
      <c r="R29" s="135">
        <f t="shared" si="13"/>
        <v>-1038.0371086144321</v>
      </c>
      <c r="S29" s="135">
        <f t="shared" si="13"/>
        <v>-1033.4132018702901</v>
      </c>
      <c r="T29" s="135">
        <f t="shared" si="13"/>
        <v>-1028.6582655237728</v>
      </c>
      <c r="U29" s="135">
        <f t="shared" si="13"/>
        <v>-1023.7685224388072</v>
      </c>
      <c r="V29" s="135">
        <f t="shared" si="13"/>
        <v>-299.58638846260885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3493.337373036301</v>
      </c>
      <c r="C30" s="44">
        <f t="shared" si="14"/>
        <v>5381.6767087689777</v>
      </c>
      <c r="D30" s="44">
        <f t="shared" si="14"/>
        <v>6193.7001498920763</v>
      </c>
      <c r="E30" s="44">
        <f t="shared" si="14"/>
        <v>6914.8500486359007</v>
      </c>
      <c r="F30" s="44">
        <f t="shared" si="14"/>
        <v>7563.0408843731157</v>
      </c>
      <c r="G30" s="44">
        <f t="shared" si="14"/>
        <v>8513.0746368835753</v>
      </c>
      <c r="H30" s="44">
        <f t="shared" si="14"/>
        <v>9025.3162208934955</v>
      </c>
      <c r="I30" s="44">
        <f t="shared" si="14"/>
        <v>8969.8527376605507</v>
      </c>
      <c r="J30" s="44">
        <f t="shared" si="14"/>
        <v>8931.0254454600836</v>
      </c>
      <c r="K30" s="44">
        <f t="shared" si="14"/>
        <v>8872.9024876617968</v>
      </c>
      <c r="L30" s="44">
        <f t="shared" si="14"/>
        <v>8831.3393216329878</v>
      </c>
      <c r="M30" s="44">
        <f t="shared" si="14"/>
        <v>8770.4018664649448</v>
      </c>
      <c r="N30" s="44">
        <f t="shared" si="14"/>
        <v>8725.9432898721825</v>
      </c>
      <c r="O30" s="44">
        <f t="shared" si="14"/>
        <v>8662.0271539847072</v>
      </c>
      <c r="P30" s="44">
        <f t="shared" si="14"/>
        <v>8614.5042002556002</v>
      </c>
      <c r="Q30" s="44">
        <f t="shared" si="14"/>
        <v>11203.606664364956</v>
      </c>
      <c r="R30" s="44">
        <f t="shared" si="14"/>
        <v>13791.06444302031</v>
      </c>
      <c r="S30" s="44">
        <f t="shared" si="14"/>
        <v>13729.632539133854</v>
      </c>
      <c r="T30" s="44">
        <f t="shared" si="14"/>
        <v>13666.459813387266</v>
      </c>
      <c r="U30" s="44">
        <f t="shared" si="14"/>
        <v>13601.496083829865</v>
      </c>
      <c r="V30" s="44">
        <f t="shared" si="14"/>
        <v>3980.2191610032314</v>
      </c>
      <c r="W30" s="44">
        <f t="shared" si="14"/>
        <v>-2734.4435275948344</v>
      </c>
      <c r="X30" s="44">
        <f t="shared" si="14"/>
        <v>-2810.4141680470893</v>
      </c>
      <c r="Y30" s="44">
        <f t="shared" si="14"/>
        <v>-2888.5426744053948</v>
      </c>
      <c r="Z30" s="44">
        <f t="shared" si="14"/>
        <v>-2968.8913575807937</v>
      </c>
      <c r="AA30" s="44">
        <f t="shared" si="14"/>
        <v>-3051.5243493103162</v>
      </c>
      <c r="AB30" s="44">
        <f t="shared" si="14"/>
        <v>-3136.507655811768</v>
      </c>
      <c r="AC30" s="44">
        <f t="shared" si="14"/>
        <v>-3223.9092130287054</v>
      </c>
      <c r="AD30" s="44">
        <f t="shared" si="14"/>
        <v>-3313.7989435130003</v>
      </c>
      <c r="AE30" s="44">
        <f t="shared" si="14"/>
        <v>-3406.2488149936944</v>
      </c>
      <c r="AF30" s="44">
        <f t="shared" si="14"/>
        <v>-3501.3329006823164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1222.6680805627052</v>
      </c>
      <c r="C33" s="19">
        <f t="shared" ref="C33:W33" si="15">C30*C32</f>
        <v>1883.586848069142</v>
      </c>
      <c r="D33" s="19">
        <f t="shared" si="15"/>
        <v>2167.7950524622265</v>
      </c>
      <c r="E33" s="19">
        <f t="shared" si="15"/>
        <v>2420.1975170225651</v>
      </c>
      <c r="F33" s="19">
        <f t="shared" si="15"/>
        <v>2647.0643095305904</v>
      </c>
      <c r="G33" s="19">
        <f t="shared" si="15"/>
        <v>2979.5761229092514</v>
      </c>
      <c r="H33" s="19">
        <f t="shared" si="15"/>
        <v>3158.8606773127231</v>
      </c>
      <c r="I33" s="19">
        <f t="shared" si="15"/>
        <v>3139.4484581811926</v>
      </c>
      <c r="J33" s="19">
        <f t="shared" si="15"/>
        <v>3125.8589059110291</v>
      </c>
      <c r="K33" s="19">
        <f t="shared" si="15"/>
        <v>3105.5158706816287</v>
      </c>
      <c r="L33" s="19">
        <f t="shared" si="15"/>
        <v>3090.9687625715455</v>
      </c>
      <c r="M33" s="19">
        <f t="shared" si="15"/>
        <v>3069.6406532627307</v>
      </c>
      <c r="N33" s="19">
        <f t="shared" si="15"/>
        <v>3054.0801514552636</v>
      </c>
      <c r="O33" s="19">
        <f t="shared" si="15"/>
        <v>3031.7095038946472</v>
      </c>
      <c r="P33" s="19">
        <f t="shared" si="15"/>
        <v>3015.0764700894597</v>
      </c>
      <c r="Q33" s="19">
        <f t="shared" si="15"/>
        <v>3921.2623325277341</v>
      </c>
      <c r="R33" s="19">
        <f t="shared" si="15"/>
        <v>4826.872555057108</v>
      </c>
      <c r="S33" s="19">
        <f t="shared" si="15"/>
        <v>4805.371388696849</v>
      </c>
      <c r="T33" s="19">
        <f t="shared" si="15"/>
        <v>4783.2609346855425</v>
      </c>
      <c r="U33" s="19">
        <f t="shared" si="15"/>
        <v>4760.5236293404523</v>
      </c>
      <c r="V33" s="19">
        <f t="shared" si="15"/>
        <v>1393.076706351131</v>
      </c>
      <c r="W33" s="19">
        <f t="shared" si="15"/>
        <v>-957.05523465819203</v>
      </c>
      <c r="X33" s="19">
        <f t="shared" ref="X33:AF33" si="16">X30*X32</f>
        <v>-983.64495881648122</v>
      </c>
      <c r="Y33" s="19">
        <f t="shared" si="16"/>
        <v>-1010.9899360418881</v>
      </c>
      <c r="Z33" s="19">
        <f t="shared" si="16"/>
        <v>-1039.1119751532779</v>
      </c>
      <c r="AA33" s="19">
        <f t="shared" si="16"/>
        <v>-1068.0335222586107</v>
      </c>
      <c r="AB33" s="19">
        <f t="shared" si="16"/>
        <v>-1097.7776795341188</v>
      </c>
      <c r="AC33" s="19">
        <f t="shared" si="16"/>
        <v>-1128.3682245600469</v>
      </c>
      <c r="AD33" s="19">
        <f t="shared" si="16"/>
        <v>-1159.82963022955</v>
      </c>
      <c r="AE33" s="19">
        <f t="shared" si="16"/>
        <v>-1192.187085247793</v>
      </c>
      <c r="AF33" s="19">
        <f t="shared" si="16"/>
        <v>-1225.4665152388106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957.05523465819203</v>
      </c>
      <c r="Y35" s="19">
        <f t="shared" si="18"/>
        <v>1940.7001934746731</v>
      </c>
      <c r="Z35" s="19">
        <f t="shared" si="18"/>
        <v>2951.6901295165612</v>
      </c>
      <c r="AA35" s="19">
        <f t="shared" si="18"/>
        <v>3990.8021046698391</v>
      </c>
      <c r="AB35" s="19">
        <f t="shared" si="18"/>
        <v>5058.8356269284495</v>
      </c>
      <c r="AC35" s="19">
        <f t="shared" si="18"/>
        <v>6156.6133064625683</v>
      </c>
      <c r="AD35" s="19">
        <f t="shared" si="18"/>
        <v>7284.9815310226149</v>
      </c>
      <c r="AE35" s="19">
        <f t="shared" si="18"/>
        <v>8444.8111612521643</v>
      </c>
      <c r="AF35" s="19">
        <f t="shared" si="18"/>
        <v>9636.9982464999575</v>
      </c>
    </row>
    <row r="36" spans="1:32">
      <c r="A36" s="21" t="s">
        <v>75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957.05523465819203</v>
      </c>
      <c r="X36" s="140">
        <f t="shared" si="19"/>
        <v>983.64495881648122</v>
      </c>
      <c r="Y36" s="140">
        <f t="shared" si="19"/>
        <v>1010.9899360418881</v>
      </c>
      <c r="Z36" s="140">
        <f t="shared" si="19"/>
        <v>1039.1119751532779</v>
      </c>
      <c r="AA36" s="140">
        <f t="shared" si="19"/>
        <v>1068.0335222586107</v>
      </c>
      <c r="AB36" s="140">
        <f t="shared" si="19"/>
        <v>1097.7776795341188</v>
      </c>
      <c r="AC36" s="140">
        <f t="shared" si="19"/>
        <v>1128.3682245600469</v>
      </c>
      <c r="AD36" s="140">
        <f t="shared" si="19"/>
        <v>1159.82963022955</v>
      </c>
      <c r="AE36" s="140">
        <f t="shared" si="19"/>
        <v>1192.187085247793</v>
      </c>
      <c r="AF36" s="140">
        <f t="shared" si="19"/>
        <v>1225.4665152388106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0</v>
      </c>
      <c r="M39" s="133">
        <f t="shared" si="23"/>
        <v>0</v>
      </c>
      <c r="N39" s="133">
        <f t="shared" si="23"/>
        <v>0</v>
      </c>
      <c r="O39" s="133">
        <f t="shared" si="23"/>
        <v>0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957.05523465819203</v>
      </c>
      <c r="X39" s="133">
        <f t="shared" si="23"/>
        <v>1940.7001934746731</v>
      </c>
      <c r="Y39" s="133">
        <f t="shared" si="23"/>
        <v>2951.6901295165612</v>
      </c>
      <c r="Z39" s="133">
        <f t="shared" si="23"/>
        <v>3990.8021046698391</v>
      </c>
      <c r="AA39" s="133">
        <f t="shared" si="23"/>
        <v>5058.8356269284495</v>
      </c>
      <c r="AB39" s="133">
        <f t="shared" si="23"/>
        <v>6156.6133064625683</v>
      </c>
      <c r="AC39" s="133">
        <f t="shared" si="23"/>
        <v>7284.9815310226149</v>
      </c>
      <c r="AD39" s="133">
        <f t="shared" si="23"/>
        <v>8444.8111612521643</v>
      </c>
      <c r="AE39" s="133">
        <f t="shared" si="23"/>
        <v>9636.9982464999575</v>
      </c>
      <c r="AF39" s="133">
        <f t="shared" si="23"/>
        <v>10862.464761738767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1222.6680805627052</v>
      </c>
      <c r="C41" s="137">
        <f t="shared" ref="C41:AF41" si="24">IF(C30&lt;0,0,C38+C33)</f>
        <v>1883.586848069142</v>
      </c>
      <c r="D41" s="137">
        <f t="shared" si="24"/>
        <v>2167.7950524622265</v>
      </c>
      <c r="E41" s="137">
        <f t="shared" si="24"/>
        <v>2420.1975170225651</v>
      </c>
      <c r="F41" s="137">
        <f t="shared" si="24"/>
        <v>2647.0643095305904</v>
      </c>
      <c r="G41" s="137">
        <f t="shared" si="24"/>
        <v>2979.5761229092514</v>
      </c>
      <c r="H41" s="137">
        <f t="shared" si="24"/>
        <v>3158.8606773127231</v>
      </c>
      <c r="I41" s="137">
        <f t="shared" si="24"/>
        <v>3139.4484581811926</v>
      </c>
      <c r="J41" s="137">
        <f t="shared" si="24"/>
        <v>3125.8589059110291</v>
      </c>
      <c r="K41" s="137">
        <f t="shared" si="24"/>
        <v>3105.5158706816287</v>
      </c>
      <c r="L41" s="137">
        <f t="shared" si="24"/>
        <v>3090.9687625715455</v>
      </c>
      <c r="M41" s="137">
        <f t="shared" si="24"/>
        <v>3069.6406532627307</v>
      </c>
      <c r="N41" s="137">
        <f t="shared" si="24"/>
        <v>3054.0801514552636</v>
      </c>
      <c r="O41" s="137">
        <f t="shared" si="24"/>
        <v>3031.7095038946472</v>
      </c>
      <c r="P41" s="137">
        <f t="shared" si="24"/>
        <v>3015.0764700894597</v>
      </c>
      <c r="Q41" s="137">
        <f t="shared" si="24"/>
        <v>3921.2623325277341</v>
      </c>
      <c r="R41" s="137">
        <f t="shared" si="24"/>
        <v>4826.872555057108</v>
      </c>
      <c r="S41" s="137">
        <f t="shared" si="24"/>
        <v>4805.371388696849</v>
      </c>
      <c r="T41" s="137">
        <f t="shared" si="24"/>
        <v>4783.2609346855425</v>
      </c>
      <c r="U41" s="137">
        <f t="shared" si="24"/>
        <v>4760.5236293404523</v>
      </c>
      <c r="V41" s="137">
        <f t="shared" si="24"/>
        <v>1393.076706351131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L41" sqref="L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356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8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0.12</v>
      </c>
      <c r="D15" s="241">
        <f>D59*Assumptions!H12</f>
        <v>57041.798429326831</v>
      </c>
      <c r="E15" s="242">
        <f t="shared" ref="E15:E33" si="0">C15*$C$6</f>
        <v>3262.68</v>
      </c>
      <c r="F15" s="242">
        <f t="shared" ref="F15:F33" si="1">+E15+D15</f>
        <v>60304.478429326831</v>
      </c>
      <c r="G15" s="242">
        <f>F15+H15</f>
        <v>60304.478429326831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0.12</v>
      </c>
      <c r="D16" s="241">
        <v>0</v>
      </c>
      <c r="E16" s="242">
        <f t="shared" si="0"/>
        <v>3262.68</v>
      </c>
      <c r="F16" s="242">
        <f t="shared" si="1"/>
        <v>3262.68</v>
      </c>
      <c r="G16" s="242">
        <f t="shared" ref="G16:G33" si="3">F16+G15+H16</f>
        <v>63994.31515153456</v>
      </c>
      <c r="H16" s="242">
        <f>IF(A16&gt;$C$7+1,0,G15*(B16-B15)*$D$8)</f>
        <v>427.15672220773178</v>
      </c>
      <c r="I16" s="242">
        <f>IF(A16&lt;=$C$7+1,H16+I15,I15)</f>
        <v>427.15672220773178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0.1</v>
      </c>
      <c r="D17" s="241">
        <v>0</v>
      </c>
      <c r="E17" s="242">
        <f t="shared" si="0"/>
        <v>2718.9</v>
      </c>
      <c r="F17" s="242">
        <f t="shared" si="1"/>
        <v>2718.9</v>
      </c>
      <c r="G17" s="242">
        <f t="shared" si="3"/>
        <v>67181.617986046491</v>
      </c>
      <c r="H17" s="242">
        <f t="shared" ref="H17:H33" si="4">IF(A17&gt;$C$7+1,0,G16*(B17-B16)*$D$8)</f>
        <v>468.40283451192659</v>
      </c>
      <c r="I17" s="242">
        <f t="shared" ref="I17:I33" si="5">IF(A17&lt;=$C$7+1,H17+I16,I16)</f>
        <v>895.5595567196583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0.13</v>
      </c>
      <c r="D18" s="241">
        <v>0</v>
      </c>
      <c r="E18" s="242">
        <f t="shared" si="0"/>
        <v>3534.57</v>
      </c>
      <c r="F18" s="242">
        <f t="shared" si="1"/>
        <v>3534.57</v>
      </c>
      <c r="G18" s="242">
        <f t="shared" si="3"/>
        <v>71192.057780114323</v>
      </c>
      <c r="H18" s="242">
        <f t="shared" si="4"/>
        <v>475.86979406782933</v>
      </c>
      <c r="I18" s="242">
        <f t="shared" si="5"/>
        <v>1371.4293507874877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0.13</v>
      </c>
      <c r="D19" s="241">
        <v>0</v>
      </c>
      <c r="E19" s="242">
        <f t="shared" si="0"/>
        <v>3534.57</v>
      </c>
      <c r="F19" s="242">
        <f t="shared" si="1"/>
        <v>3534.57</v>
      </c>
      <c r="G19" s="242">
        <f t="shared" si="3"/>
        <v>75247.71409192156</v>
      </c>
      <c r="H19" s="242">
        <f t="shared" si="4"/>
        <v>521.08631180722568</v>
      </c>
      <c r="I19" s="242">
        <f t="shared" si="5"/>
        <v>1892.5156625947134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78789.275554788808</v>
      </c>
      <c r="H20" s="242">
        <f t="shared" si="4"/>
        <v>550.77146286725917</v>
      </c>
      <c r="I20" s="242">
        <f t="shared" si="5"/>
        <v>2443.2871254619727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0.14000000000000001</v>
      </c>
      <c r="D21" s="241">
        <v>0</v>
      </c>
      <c r="E21" s="242">
        <f t="shared" si="0"/>
        <v>3806.4600000000005</v>
      </c>
      <c r="F21" s="242">
        <f t="shared" si="1"/>
        <v>3806.4600000000005</v>
      </c>
      <c r="G21" s="242">
        <f t="shared" si="3"/>
        <v>83153.826256635235</v>
      </c>
      <c r="H21" s="242">
        <f t="shared" si="4"/>
        <v>558.09070184642076</v>
      </c>
      <c r="I21" s="242">
        <f t="shared" si="5"/>
        <v>3001.3778273083935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0.15</v>
      </c>
      <c r="D22" s="241">
        <v>0</v>
      </c>
      <c r="E22" s="242">
        <f t="shared" si="0"/>
        <v>4078.35</v>
      </c>
      <c r="F22" s="242">
        <f t="shared" si="1"/>
        <v>4078.35</v>
      </c>
      <c r="G22" s="242">
        <f t="shared" si="3"/>
        <v>87840.816068263666</v>
      </c>
      <c r="H22" s="242">
        <f t="shared" si="4"/>
        <v>608.63981162842742</v>
      </c>
      <c r="I22" s="242">
        <f t="shared" si="5"/>
        <v>3610.0176389368207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</v>
      </c>
      <c r="D23" s="241">
        <v>0</v>
      </c>
      <c r="E23" s="242">
        <f t="shared" si="0"/>
        <v>0</v>
      </c>
      <c r="F23" s="242">
        <f t="shared" si="1"/>
        <v>0</v>
      </c>
      <c r="G23" s="242">
        <f t="shared" si="3"/>
        <v>88463.021848747201</v>
      </c>
      <c r="H23" s="242">
        <f t="shared" si="4"/>
        <v>622.20578048353434</v>
      </c>
      <c r="I23" s="242">
        <f t="shared" si="5"/>
        <v>4232.2234194203547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</v>
      </c>
      <c r="D24" s="241">
        <v>0</v>
      </c>
      <c r="E24" s="242">
        <f t="shared" si="0"/>
        <v>0</v>
      </c>
      <c r="F24" s="242">
        <f t="shared" si="1"/>
        <v>0</v>
      </c>
      <c r="G24" s="242">
        <f t="shared" si="3"/>
        <v>88463.021848747201</v>
      </c>
      <c r="H24" s="242">
        <f t="shared" si="4"/>
        <v>0</v>
      </c>
      <c r="I24" s="242">
        <f t="shared" si="5"/>
        <v>4232.2234194203547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</v>
      </c>
      <c r="D25" s="241">
        <v>0</v>
      </c>
      <c r="E25" s="242">
        <f t="shared" si="0"/>
        <v>0</v>
      </c>
      <c r="F25" s="242">
        <f t="shared" si="1"/>
        <v>0</v>
      </c>
      <c r="G25" s="242">
        <f t="shared" si="3"/>
        <v>88463.021848747201</v>
      </c>
      <c r="H25" s="242">
        <f t="shared" si="4"/>
        <v>0</v>
      </c>
      <c r="I25" s="242">
        <f t="shared" si="5"/>
        <v>4232.2234194203547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</v>
      </c>
      <c r="D26" s="241">
        <v>0</v>
      </c>
      <c r="E26" s="242">
        <f t="shared" si="0"/>
        <v>0</v>
      </c>
      <c r="F26" s="242">
        <f t="shared" si="1"/>
        <v>0</v>
      </c>
      <c r="G26" s="242">
        <f t="shared" si="3"/>
        <v>88463.021848747201</v>
      </c>
      <c r="H26" s="242">
        <f t="shared" si="4"/>
        <v>0</v>
      </c>
      <c r="I26" s="242">
        <f t="shared" si="5"/>
        <v>4232.2234194203547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</v>
      </c>
      <c r="D27" s="241">
        <v>0</v>
      </c>
      <c r="E27" s="242">
        <f t="shared" si="0"/>
        <v>0</v>
      </c>
      <c r="F27" s="242">
        <f t="shared" si="1"/>
        <v>0</v>
      </c>
      <c r="G27" s="242">
        <f t="shared" si="3"/>
        <v>88463.021848747201</v>
      </c>
      <c r="H27" s="242">
        <f t="shared" si="4"/>
        <v>0</v>
      </c>
      <c r="I27" s="242">
        <f t="shared" si="5"/>
        <v>4232.2234194203547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88463.021848747201</v>
      </c>
      <c r="H28" s="242">
        <f t="shared" si="4"/>
        <v>0</v>
      </c>
      <c r="I28" s="242">
        <f t="shared" si="5"/>
        <v>4232.2234194203547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88463.021848747201</v>
      </c>
      <c r="H29" s="242">
        <f t="shared" si="4"/>
        <v>0</v>
      </c>
      <c r="I29" s="242">
        <f t="shared" si="5"/>
        <v>4232.2234194203547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88463.021848747201</v>
      </c>
      <c r="H30" s="242">
        <f t="shared" si="4"/>
        <v>0</v>
      </c>
      <c r="I30" s="242">
        <f t="shared" si="5"/>
        <v>4232.2234194203547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88463.021848747201</v>
      </c>
      <c r="H31" s="242">
        <f t="shared" si="4"/>
        <v>0</v>
      </c>
      <c r="I31" s="242">
        <f t="shared" si="5"/>
        <v>4232.2234194203547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88463.021848747201</v>
      </c>
      <c r="H32" s="242">
        <f t="shared" si="4"/>
        <v>0</v>
      </c>
      <c r="I32" s="242">
        <f t="shared" si="5"/>
        <v>4232.2234194203547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88463.021848747201</v>
      </c>
      <c r="H33" s="247">
        <f t="shared" si="4"/>
        <v>0</v>
      </c>
      <c r="I33" s="247">
        <f t="shared" si="5"/>
        <v>4232.2234194203547</v>
      </c>
      <c r="K33" s="447"/>
    </row>
    <row r="34" spans="1:12">
      <c r="C34" s="235">
        <f>SUM(C15:C33)</f>
        <v>1</v>
      </c>
      <c r="D34" s="243">
        <f>SUM(D15:D33)</f>
        <v>57041.798429326831</v>
      </c>
      <c r="E34" s="243">
        <f>SUM(E15:E33)</f>
        <v>27188.999999999996</v>
      </c>
      <c r="F34" s="243">
        <f>SUM(F15:F33)</f>
        <v>84230.798429326853</v>
      </c>
      <c r="G34" s="18"/>
      <c r="H34" s="243">
        <f>SUM(H15:H33)</f>
        <v>4232.2234194203547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434</v>
      </c>
    </row>
    <row r="40" spans="1:12">
      <c r="F40" s="429"/>
      <c r="G40" s="425" t="s">
        <v>342</v>
      </c>
      <c r="H40" s="425">
        <v>2</v>
      </c>
      <c r="I40" s="425">
        <v>3</v>
      </c>
      <c r="J40" s="548">
        <v>4</v>
      </c>
      <c r="K40" s="425">
        <v>5</v>
      </c>
      <c r="L40" s="426">
        <v>6</v>
      </c>
    </row>
    <row r="41" spans="1:12" ht="13.5" thickBot="1">
      <c r="A41" s="232" t="s">
        <v>343</v>
      </c>
      <c r="B41" s="232" t="s">
        <v>345</v>
      </c>
      <c r="C41" s="232" t="s">
        <v>347</v>
      </c>
      <c r="D41" s="232" t="s">
        <v>232</v>
      </c>
      <c r="F41" s="430" t="s">
        <v>187</v>
      </c>
      <c r="G41" s="427" t="s">
        <v>352</v>
      </c>
      <c r="H41" s="427">
        <v>7</v>
      </c>
      <c r="I41" s="427">
        <v>7.5</v>
      </c>
      <c r="J41" s="549">
        <v>8</v>
      </c>
      <c r="K41" s="427">
        <v>8.5</v>
      </c>
      <c r="L41" s="428">
        <v>9</v>
      </c>
    </row>
    <row r="42" spans="1:12" ht="13.5" thickBot="1">
      <c r="A42" s="232" t="s">
        <v>344</v>
      </c>
      <c r="B42" s="232" t="s">
        <v>346</v>
      </c>
      <c r="C42" s="232" t="s">
        <v>348</v>
      </c>
      <c r="D42" s="232" t="s">
        <v>349</v>
      </c>
      <c r="F42" s="431">
        <v>1</v>
      </c>
      <c r="G42" s="417"/>
      <c r="H42" s="529">
        <v>0.1</v>
      </c>
      <c r="I42" s="529">
        <v>0.1</v>
      </c>
      <c r="J42" s="550">
        <v>0.12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551">
        <v>0.12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551">
        <v>0.1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551">
        <v>0.13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551">
        <v>0.13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551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551">
        <v>0.14000000000000001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551">
        <v>0.15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551">
        <v>0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551">
        <v>0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551">
        <v>0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551">
        <v>0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551">
        <v>0</v>
      </c>
      <c r="K54" s="420">
        <v>0.04</v>
      </c>
      <c r="L54" s="421">
        <v>0.04</v>
      </c>
    </row>
    <row r="55" spans="1:12">
      <c r="A55" s="292" t="s">
        <v>350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551">
        <v>0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552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353</v>
      </c>
      <c r="G57" s="422"/>
      <c r="H57" s="423">
        <f>SUM(H42:H56)</f>
        <v>1.0000000000000002</v>
      </c>
      <c r="I57" s="423">
        <f>SUM(I42:I56)</f>
        <v>1.0000000000000002</v>
      </c>
      <c r="J57" s="552">
        <f>SUM(J42:J56)</f>
        <v>1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351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416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423</v>
      </c>
    </row>
    <row r="9" spans="1:4" ht="13.5" thickBot="1">
      <c r="A9" s="488" t="s">
        <v>125</v>
      </c>
      <c r="B9" s="489">
        <f>'Returns Analysis'!C39</f>
        <v>8.5890623927116383E-2</v>
      </c>
      <c r="C9" s="490">
        <f>Debt!E69</f>
        <v>1.299999999999998</v>
      </c>
      <c r="D9" s="491">
        <f>Debt!E68</f>
        <v>1.3014092027256943</v>
      </c>
    </row>
    <row r="10" spans="1:4">
      <c r="A10" s="63"/>
      <c r="C10" s="492"/>
      <c r="D10" s="492"/>
    </row>
    <row r="11" spans="1:4" ht="13.5" thickBot="1"/>
    <row r="12" spans="1:4">
      <c r="A12" s="493" t="s">
        <v>381</v>
      </c>
      <c r="B12" s="494">
        <f>B9</f>
        <v>8.5890623927116383E-2</v>
      </c>
      <c r="C12" s="495">
        <f>C9</f>
        <v>1.299999999999998</v>
      </c>
      <c r="D12" s="496">
        <f>D9</f>
        <v>1.3014092027256943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7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2" width="12.85546875" style="12" customWidth="1"/>
    <col min="23" max="23" width="16.2851562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435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326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314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320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329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321</v>
      </c>
      <c r="X10" s="208" t="s">
        <v>260</v>
      </c>
      <c r="Y10" s="208" t="s">
        <v>335</v>
      </c>
      <c r="Z10" s="208" t="s">
        <v>270</v>
      </c>
      <c r="AA10" s="208" t="s">
        <v>270</v>
      </c>
      <c r="AB10" s="367" t="s">
        <v>327</v>
      </c>
    </row>
    <row r="11" spans="1:38" ht="15.75">
      <c r="A11" s="99" t="s">
        <v>9</v>
      </c>
      <c r="B11" s="273">
        <f>C11/C14</f>
        <v>1</v>
      </c>
      <c r="C11" s="197">
        <f>C58-C12</f>
        <v>99861.798429326824</v>
      </c>
      <c r="D11" s="352">
        <f>C11/$H$68</f>
        <v>525.5884127859307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322</v>
      </c>
      <c r="Y11" s="208"/>
      <c r="Z11" s="208"/>
      <c r="AA11" s="208"/>
      <c r="AB11" s="367" t="s">
        <v>328</v>
      </c>
    </row>
    <row r="12" spans="1:38" ht="15.75">
      <c r="A12" s="99" t="s">
        <v>87</v>
      </c>
      <c r="B12" s="152">
        <f>C12/C14</f>
        <v>0</v>
      </c>
      <c r="C12" s="197">
        <f>IF(C66="Yes",0,Debt!B19)</f>
        <v>0</v>
      </c>
      <c r="D12" s="352">
        <f>C12/$H$68</f>
        <v>0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99861.798429326824</v>
      </c>
      <c r="D14" s="458">
        <f>C14/$H$68</f>
        <v>525.5884127859307</v>
      </c>
      <c r="E14" s="13"/>
      <c r="F14" s="117" t="s">
        <v>384</v>
      </c>
      <c r="G14" s="177"/>
      <c r="H14" s="254">
        <v>10100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431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385</v>
      </c>
      <c r="G15" s="177"/>
      <c r="H15" s="254">
        <v>10200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558">
        <v>8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555" t="s">
        <v>448</v>
      </c>
      <c r="U18" s="339" t="s">
        <v>272</v>
      </c>
      <c r="V18" s="58">
        <v>12</v>
      </c>
      <c r="W18" s="299">
        <v>22</v>
      </c>
    </row>
    <row r="19" spans="1:23" ht="15.75">
      <c r="A19" s="99" t="s">
        <v>425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426</v>
      </c>
      <c r="B20" s="169">
        <f t="shared" ref="B20:B33" si="1">C20/$C$58</f>
        <v>0.57120740189448793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449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2.4834321422271604E-3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0.27226627627021882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357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1.1365707586402528E-2</v>
      </c>
      <c r="C24" s="252">
        <v>1135</v>
      </c>
      <c r="D24" s="352">
        <f t="shared" si="2"/>
        <v>5.9736842105263159</v>
      </c>
      <c r="E24" s="13"/>
      <c r="F24" s="330" t="s">
        <v>383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4.8066428559235361E-2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340</v>
      </c>
      <c r="B28" s="169">
        <f t="shared" si="1"/>
        <v>6.1585111591520312E-3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325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8847.9611255</v>
      </c>
      <c r="O29" s="226">
        <f>N29/$H$68</f>
        <v>46.568216450000001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685.71428571428567</v>
      </c>
      <c r="O30" s="226">
        <f>N30/$H$68</f>
        <v>3.6090225563909772</v>
      </c>
      <c r="P30" s="556">
        <v>0.02</v>
      </c>
      <c r="R30" s="3"/>
    </row>
    <row r="31" spans="1:23" ht="15.75">
      <c r="A31" s="102" t="s">
        <v>183</v>
      </c>
      <c r="B31" s="169">
        <f t="shared" si="1"/>
        <v>1.0013839283174034E-3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432</v>
      </c>
      <c r="B32" s="169">
        <f t="shared" si="1"/>
        <v>4.0666201328969753E-2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75505.500901236432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1.3017991068126244E-2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433</v>
      </c>
      <c r="M33" s="42"/>
      <c r="N33" s="282">
        <f>IS!C26/IS!C6</f>
        <v>0</v>
      </c>
      <c r="O33" s="227">
        <f>N33/$H$68</f>
        <v>0</v>
      </c>
      <c r="P33" s="81"/>
      <c r="R33" s="3"/>
    </row>
    <row r="34" spans="1:18" ht="16.5" thickBot="1">
      <c r="A34" s="102" t="s">
        <v>109</v>
      </c>
      <c r="B34" s="169">
        <f>SUM(B20:B33)</f>
        <v>0.96623333393713717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-5.7736679479986934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386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0</v>
      </c>
      <c r="C38" s="252">
        <v>0</v>
      </c>
      <c r="D38" s="352">
        <f t="shared" si="4"/>
        <v>0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330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0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1.0013839283174035E-2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2.0027678566348069E-4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0</v>
      </c>
      <c r="C46" s="200">
        <f>IF(C12=0,0,IDC!H34)</f>
        <v>0</v>
      </c>
      <c r="D46" s="352">
        <f t="shared" si="4"/>
        <v>0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2.355254999402533E-2</v>
      </c>
      <c r="C48" s="200">
        <f>SUM(C22:C33)*N55</f>
        <v>2352</v>
      </c>
      <c r="D48" s="352">
        <f t="shared" si="4"/>
        <v>12.378947368421052</v>
      </c>
      <c r="E48" s="64"/>
      <c r="F48" s="104" t="s">
        <v>13</v>
      </c>
      <c r="G48" s="274">
        <f>1-G47</f>
        <v>1</v>
      </c>
      <c r="H48" s="146">
        <f>G48*C11</f>
        <v>99861.798429326824</v>
      </c>
      <c r="I48" s="42"/>
      <c r="J48" s="81"/>
      <c r="L48" s="94" t="s">
        <v>387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3.3766666062862848E-2</v>
      </c>
      <c r="C50" s="200">
        <f>SUM(C37:C49)</f>
        <v>3372</v>
      </c>
      <c r="D50" s="352">
        <f t="shared" si="4"/>
        <v>17.747368421052631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309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311</v>
      </c>
      <c r="G53" s="13"/>
      <c r="H53" s="256">
        <v>20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422</v>
      </c>
      <c r="G54" s="13"/>
      <c r="H54" s="554">
        <v>7.55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0.06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312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311</v>
      </c>
      <c r="G57" s="13"/>
      <c r="H57" s="279">
        <f>H19-H53</f>
        <v>0</v>
      </c>
      <c r="I57" s="111"/>
      <c r="J57" s="40"/>
    </row>
    <row r="58" spans="1:16" ht="16.5" thickBot="1">
      <c r="A58" s="188" t="s">
        <v>104</v>
      </c>
      <c r="B58" s="184">
        <f>B56+B50+B34</f>
        <v>1</v>
      </c>
      <c r="C58" s="201">
        <f>C56+C50+C34</f>
        <v>99861.798429326824</v>
      </c>
      <c r="D58" s="356">
        <f>C58/$H$68</f>
        <v>525.5884127859307</v>
      </c>
      <c r="E58" s="13"/>
      <c r="F58" s="102" t="s">
        <v>422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430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525.5884127859307</v>
      </c>
      <c r="D62" s="40"/>
      <c r="E62" s="13"/>
      <c r="F62" s="104" t="s">
        <v>447</v>
      </c>
      <c r="G62" s="42"/>
      <c r="H62" s="281">
        <f>H68*H72</f>
        <v>266000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1.3014092027256943</v>
      </c>
      <c r="D65" s="357">
        <f>Debt!E69</f>
        <v>1.299999999999998</v>
      </c>
      <c r="E65" s="13"/>
      <c r="F65" s="183"/>
      <c r="G65" s="153"/>
      <c r="H65" s="111"/>
      <c r="I65" s="13"/>
      <c r="J65" s="40"/>
    </row>
    <row r="66" spans="1:10" ht="15.75">
      <c r="A66" s="102" t="s">
        <v>450</v>
      </c>
      <c r="B66" s="98"/>
      <c r="C66" s="557" t="s">
        <v>269</v>
      </c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5" t="s">
        <v>341</v>
      </c>
      <c r="B68" s="13"/>
      <c r="C68" s="13"/>
      <c r="D68" s="40"/>
      <c r="E68" s="13"/>
      <c r="F68" s="119" t="s">
        <v>315</v>
      </c>
      <c r="G68" s="43"/>
      <c r="H68" s="364">
        <f>SUM(H66:H67)</f>
        <v>190</v>
      </c>
      <c r="I68" s="13"/>
      <c r="J68" s="40"/>
    </row>
    <row r="69" spans="1:10" ht="15.75">
      <c r="A69" s="102" t="s">
        <v>382</v>
      </c>
      <c r="B69" s="98"/>
      <c r="C69" s="147">
        <f>'Returns Analysis'!C39</f>
        <v>8.5890623927116383E-2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",H23,"x EBITDA Exit Multiple Residual Value")</f>
        <v>30 Yrs After-Tax Cashflow with 5x EBITDA Exit Multiple Residual Value</v>
      </c>
      <c r="B70" s="13"/>
      <c r="C70" s="147">
        <f>'Returns Analysis'!C46</f>
        <v>9.0187850594520572E-2</v>
      </c>
      <c r="D70" s="103"/>
      <c r="E70" s="13"/>
      <c r="F70" s="102" t="s">
        <v>358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",H24*100,"% Initial Project Cost Residual Value")</f>
        <v>30 Yrs After-Tax Cashflow with 20% Initial Project Cost Residual Value</v>
      </c>
      <c r="B71" s="13"/>
      <c r="C71" s="553">
        <f>'Returns Analysis'!C53</f>
        <v>8.9916852116584803E-2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102" t="str">
        <f>CONCATENATE("30 Yrs After-Tax Cashflow with $",H25,"/kW Residual Value")</f>
        <v>30 Yrs After-Tax Cashflow with $200/kW Residual Value</v>
      </c>
      <c r="B72" s="13"/>
      <c r="C72" s="147">
        <f>'Returns Analysis'!C60</f>
        <v>9.3201145529747009E-2</v>
      </c>
      <c r="D72" s="40"/>
      <c r="E72" s="13"/>
      <c r="F72" s="104" t="s">
        <v>178</v>
      </c>
      <c r="G72" s="42"/>
      <c r="H72" s="263">
        <v>1400</v>
      </c>
      <c r="I72" s="42"/>
      <c r="J72" s="81"/>
    </row>
    <row r="74" spans="1:10" ht="15.75">
      <c r="A74" s="105" t="s">
        <v>88</v>
      </c>
      <c r="B74" s="97">
        <f>IS!C7</f>
        <v>2001</v>
      </c>
      <c r="C74" s="97">
        <f>IS!D7</f>
        <v>2002</v>
      </c>
      <c r="D74" s="172">
        <f>IS!E7</f>
        <v>2003</v>
      </c>
      <c r="E74" s="98"/>
    </row>
    <row r="75" spans="1:10" ht="15.75">
      <c r="A75" s="102" t="s">
        <v>99</v>
      </c>
      <c r="B75" s="112">
        <f>IS!C32</f>
        <v>8974.1666666666642</v>
      </c>
      <c r="C75" s="112">
        <f>IS!D32</f>
        <v>15627.680000000002</v>
      </c>
      <c r="D75" s="167">
        <f>IS!E32</f>
        <v>15584.170399999999</v>
      </c>
      <c r="E75" s="98"/>
    </row>
    <row r="76" spans="1:10" ht="15.75">
      <c r="A76" s="102" t="s">
        <v>100</v>
      </c>
      <c r="B76" s="112">
        <f>IS!C45</f>
        <v>4166.3319948657572</v>
      </c>
      <c r="C76" s="112">
        <f>IS!D45</f>
        <v>7289.41526548416</v>
      </c>
      <c r="D76" s="167">
        <f>IS!E45</f>
        <v>7263.1137122841583</v>
      </c>
      <c r="E76" s="13"/>
    </row>
    <row r="77" spans="1:10" ht="15.75">
      <c r="A77" s="102" t="s">
        <v>101</v>
      </c>
      <c r="B77" s="112">
        <f>'Returns Analysis'!C13</f>
        <v>8974.1666666666642</v>
      </c>
      <c r="C77" s="112">
        <f>'Returns Analysis'!D13</f>
        <v>15627.680000000002</v>
      </c>
      <c r="D77" s="167">
        <f>'Returns Analysis'!E13</f>
        <v>15584.170399999999</v>
      </c>
      <c r="E77" s="13"/>
    </row>
    <row r="78" spans="1:10" ht="16.5" thickBot="1">
      <c r="A78" s="104" t="s">
        <v>371</v>
      </c>
      <c r="B78" s="113">
        <f>'Returns Analysis'!C21</f>
        <v>7488.5592139399359</v>
      </c>
      <c r="C78" s="113">
        <f>'Returns Analysis'!D21</f>
        <v>13339.020711485882</v>
      </c>
      <c r="D78" s="194">
        <f>'Returns Analysis'!E21</f>
        <v>12950.182863137294</v>
      </c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B19" sqref="B19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408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421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310</v>
      </c>
      <c r="C12" s="13"/>
      <c r="D12" s="499">
        <f>Assumptions!$H$54</f>
        <v>7.55</v>
      </c>
      <c r="E12" s="499">
        <f>Assumptions!$H$54</f>
        <v>7.55</v>
      </c>
      <c r="F12" s="499">
        <f>Assumptions!$H$54</f>
        <v>7.55</v>
      </c>
      <c r="G12" s="499">
        <f>Assumptions!$H$54</f>
        <v>7.55</v>
      </c>
      <c r="H12" s="499">
        <f>Assumptions!$H$54</f>
        <v>7.55</v>
      </c>
      <c r="I12" s="499">
        <f>Assumptions!$H$54</f>
        <v>7.55</v>
      </c>
      <c r="J12" s="499">
        <f>Assumptions!$H$54</f>
        <v>7.55</v>
      </c>
      <c r="K12" s="499">
        <f>Assumptions!$H$54</f>
        <v>7.55</v>
      </c>
      <c r="L12" s="499">
        <f>Assumptions!$H$54</f>
        <v>7.55</v>
      </c>
      <c r="M12" s="499">
        <f>Assumptions!$H$54</f>
        <v>7.55</v>
      </c>
      <c r="N12" s="499">
        <f>Assumptions!$H$54</f>
        <v>7.55</v>
      </c>
      <c r="O12" s="499">
        <f>Assumptions!$H$54</f>
        <v>7.55</v>
      </c>
      <c r="P12" s="499">
        <f>Assumptions!$H$54</f>
        <v>7.55</v>
      </c>
      <c r="Q12" s="499">
        <f>Assumptions!$H$54</f>
        <v>7.55</v>
      </c>
      <c r="R12" s="499">
        <f>Assumptions!$H$54</f>
        <v>7.55</v>
      </c>
      <c r="S12" s="499">
        <f>Assumptions!$H$54</f>
        <v>7.55</v>
      </c>
      <c r="T12" s="499">
        <f>Assumptions!$H$54</f>
        <v>7.55</v>
      </c>
      <c r="U12" s="499">
        <f>Assumptions!$H$54</f>
        <v>7.55</v>
      </c>
      <c r="V12" s="499">
        <f>Assumptions!$H$54</f>
        <v>7.55</v>
      </c>
      <c r="W12" s="499">
        <f>Assumptions!$H$54</f>
        <v>7.55</v>
      </c>
      <c r="X12" s="499">
        <f>Assumptions!$H$54</f>
        <v>7.55</v>
      </c>
      <c r="Y12" s="499">
        <f>Assumptions!$H$54</f>
        <v>7.55</v>
      </c>
      <c r="Z12" s="499">
        <f>Assumptions!$H$54</f>
        <v>7.55</v>
      </c>
      <c r="AA12" s="499">
        <f>Assumptions!$H$54</f>
        <v>7.55</v>
      </c>
      <c r="AB12" s="499">
        <f>Assumptions!$H$54</f>
        <v>7.55</v>
      </c>
      <c r="AC12" s="499">
        <f>Assumptions!$H$54</f>
        <v>7.55</v>
      </c>
      <c r="AD12" s="499">
        <f>Assumptions!$H$54</f>
        <v>7.55</v>
      </c>
      <c r="AE12" s="499">
        <f>Assumptions!$H$54</f>
        <v>7.55</v>
      </c>
      <c r="AF12" s="499">
        <f>Assumptions!$H$54</f>
        <v>7.55</v>
      </c>
      <c r="AG12" s="499">
        <f>Assumptions!$H$54</f>
        <v>7.55</v>
      </c>
      <c r="AH12" s="499">
        <f>Assumptions!$H$54</f>
        <v>7.55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319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313</v>
      </c>
      <c r="C21" s="505"/>
      <c r="D21" s="510">
        <f>IF(AND(C7&lt;$D$7+Assumptions!$H$53,D7&lt;$D$7+Assumptions!$H$53),D12,IF(AND(C7&lt;$D$7+Assumptions!$H$53,D7&gt;$D$7+Assumptions!$H$53),D12*(1-$D$7)+D19*$D$7,D19))</f>
        <v>7.55</v>
      </c>
      <c r="E21" s="511">
        <f>IF(AND(D7&lt;$D$7+Assumptions!$H$53,E7&lt;$D$7+Assumptions!$H$53),E12,IF(AND(D7&lt;$D$7+Assumptions!$H$53,E7&gt;=$D$7+Assumptions!$H$53),E12*(1-$D$7)+E19*$D$7,E19))</f>
        <v>7.55</v>
      </c>
      <c r="F21" s="511">
        <f>IF(AND(E7&lt;$D$7+Assumptions!$H$53,F7&lt;$D$7+Assumptions!$H$53),F12,IF(AND(E7&lt;$D$7+Assumptions!$H$53,F7&gt;=$D$7+Assumptions!$H$53),F12*(1-$D$7)+F19*$D$7,F19))</f>
        <v>7.55</v>
      </c>
      <c r="G21" s="511">
        <f>IF(AND(F7&lt;$D$7+Assumptions!$H$53,G7&lt;$D$7+Assumptions!$H$53),G12,IF(AND(F7&lt;$D$7+Assumptions!$H$53,G7&gt;=$D$7+Assumptions!$H$53),G12*(1-$D$7)+G19*$D$7,G19))</f>
        <v>7.55</v>
      </c>
      <c r="H21" s="511">
        <f>IF(AND(G7&lt;$D$7+Assumptions!$H$53,H7&lt;$D$7+Assumptions!$H$53),H12,IF(AND(G7&lt;$D$7+Assumptions!$H$53,H7&gt;=$D$7+Assumptions!$H$53),H12*(1-$D$7)+H19*$D$7,H19))</f>
        <v>7.55</v>
      </c>
      <c r="I21" s="511">
        <f>IF(AND(H7&lt;$D$7+Assumptions!$H$53,I7&lt;$D$7+Assumptions!$H$53),I12,IF(AND(H7&lt;$D$7+Assumptions!$H$53,I7&gt;=$D$7+Assumptions!$H$53),I12*(1-$D$7)+I19*$D$7,I19))</f>
        <v>7.55</v>
      </c>
      <c r="J21" s="511">
        <f>IF(AND(I7&lt;$D$7+Assumptions!$H$53,J7&lt;$D$7+Assumptions!$H$53),J12,IF(AND(I7&lt;$D$7+Assumptions!$H$53,J7&gt;=$D$7+Assumptions!$H$53),J12*(1-$D$7)+J19*$D$7,J19))</f>
        <v>7.55</v>
      </c>
      <c r="K21" s="511">
        <f>IF(AND(J7&lt;$D$7+Assumptions!$H$53,K7&lt;$D$7+Assumptions!$H$53),K12,IF(AND(J7&lt;$D$7+Assumptions!$H$53,K7&gt;=$D$7+Assumptions!$H$53),K12*(1-$D$7)+K19*$D$7,K19))</f>
        <v>7.55</v>
      </c>
      <c r="L21" s="511">
        <f>IF(AND(K7&lt;$D$7+Assumptions!$H$53,L7&lt;$D$7+Assumptions!$H$53),L12,IF(AND(K7&lt;$D$7+Assumptions!$H$53,L7&gt;=$D$7+Assumptions!$H$53),L12*(1-$D$7)+L19*$D$7,L19))</f>
        <v>7.55</v>
      </c>
      <c r="M21" s="511">
        <f>IF(AND(L7&lt;$D$7+Assumptions!$H$53,M7&lt;$D$7+Assumptions!$H$53),M12,IF(AND(L7&lt;$D$7+Assumptions!$H$53,M7&gt;=$D$7+Assumptions!$H$53),M12*(1-$D$7)+M19*$D$7,M19))</f>
        <v>7.55</v>
      </c>
      <c r="N21" s="511">
        <f>IF(AND(M7&lt;$D$7+Assumptions!$H$53,N7&lt;$D$7+Assumptions!$H$53),N12,IF(AND(M7&lt;$D$7+Assumptions!$H$53,N7&gt;=$D$7+Assumptions!$H$53),N12*(1-$D$7)+N19*$D$7,N19))</f>
        <v>7.55</v>
      </c>
      <c r="O21" s="511">
        <f>IF(AND(N7&lt;$D$7+Assumptions!$H$53,O7&lt;$D$7+Assumptions!$H$53),O12,IF(AND(N7&lt;$D$7+Assumptions!$H$53,O7&gt;=$D$7+Assumptions!$H$53),O12*(1-$D$7)+O19*$D$7,O19))</f>
        <v>7.55</v>
      </c>
      <c r="P21" s="511">
        <f>IF(AND(O7&lt;$D$7+Assumptions!$H$53,P7&lt;$D$7+Assumptions!$H$53),P12,IF(AND(O7&lt;$D$7+Assumptions!$H$53,P7&gt;=$D$7+Assumptions!$H$53),P12*(1-$D$7)+P19*$D$7,P19))</f>
        <v>7.55</v>
      </c>
      <c r="Q21" s="511">
        <f>IF(AND(P7&lt;$D$7+Assumptions!$H$53,Q7&lt;$D$7+Assumptions!$H$53),Q12,IF(AND(P7&lt;$D$7+Assumptions!$H$53,Q7&gt;=$D$7+Assumptions!$H$53),Q12*(1-$D$7)+Q19*$D$7,Q19))</f>
        <v>7.55</v>
      </c>
      <c r="R21" s="512">
        <f>IF(AND(Q7&lt;$D$7+Assumptions!$H$53,R7&lt;$D$7+Assumptions!$H$53),R12,IF(AND(Q7&lt;$D$7+Assumptions!$H$53,R7&gt;=$D$7+Assumptions!$H$53),R12*(1-$D$7)+R19*$D$7,R19))</f>
        <v>7.55</v>
      </c>
      <c r="S21" s="510">
        <f>IF(AND(R7&lt;$D$7+Assumptions!$H$53,S7&lt;$D$7+Assumptions!$H$53),S12,IF(AND(R7&lt;$D$7+Assumptions!$H$53,S7&gt;=$D$7+Assumptions!$H$53),S12*(1-$D$7)+S19*$D$7,S19))</f>
        <v>7.55</v>
      </c>
      <c r="T21" s="511">
        <f>IF(AND(S7&lt;$D$7+Assumptions!$H$53,T7&lt;$D$7+Assumptions!$H$53),T12,IF(AND(S7&lt;$D$7+Assumptions!$H$53,T7&gt;=$D$7+Assumptions!$H$53),T12*(1-$D$7)+T19*$D$7,T19))</f>
        <v>7.55</v>
      </c>
      <c r="U21" s="511">
        <f>IF(AND(T7&lt;$D$7+Assumptions!$H$53,U7&lt;$D$7+Assumptions!$H$53),U12,IF(AND(T7&lt;$D$7+Assumptions!$H$53,U7&gt;=$D$7+Assumptions!$H$53),U12*(1-$D$7)+U19*$D$7,U19))</f>
        <v>7.55</v>
      </c>
      <c r="V21" s="511">
        <f>IF(AND(U7&lt;$D$7+Assumptions!$H$53,V7&lt;$D$7+Assumptions!$H$53),V12,IF(AND(U7&lt;$D$7+Assumptions!$H$53,V7&gt;=$D$7+Assumptions!$H$53),V12*(1-$D$7)+V19*$D$7,V19))</f>
        <v>7.55</v>
      </c>
      <c r="W21" s="511">
        <f>IF(AND(V7&lt;$D$7+Assumptions!$H$53,W7&lt;$D$7+Assumptions!$H$53),W12,IF(AND(V7&lt;$D$7+Assumptions!$H$53,W7&gt;=$D$7+Assumptions!$H$53),W12*(1-$D$7)+W19*$D$7,W19))</f>
        <v>7.55</v>
      </c>
      <c r="X21" s="511">
        <f>IF(AND(W7&lt;$D$7+Assumptions!$H$53,X7&lt;$D$7+Assumptions!$H$53),X12,IF(AND(W7&lt;$D$7+Assumptions!$H$53,X7&gt;=$D$7+Assumptions!$H$53),X12*(1-$D$7)+X19*$D$7,X19))</f>
        <v>7.3056586950726219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439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399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33.263011749999997</v>
      </c>
      <c r="E34" s="502">
        <f>E44*'Price_Technical Assumption'!E30/1000</f>
        <v>32.817021000000011</v>
      </c>
      <c r="F34" s="502">
        <f>F44*'Price_Technical Assumption'!F30/1000</f>
        <v>32.932489249999996</v>
      </c>
      <c r="G34" s="502">
        <f>G44*'Price_Technical Assumption'!G30/1000</f>
        <v>33.439004250000004</v>
      </c>
      <c r="H34" s="502">
        <f>H44*'Price_Technical Assumption'!H30/1000</f>
        <v>34.048539249999997</v>
      </c>
      <c r="I34" s="502">
        <f>I44*'Price_Technical Assumption'!I30/1000</f>
        <v>34.696706750000004</v>
      </c>
      <c r="J34" s="502">
        <f>J44*'Price_Technical Assumption'!J30/1000</f>
        <v>35.366336750000002</v>
      </c>
      <c r="K34" s="502">
        <f>K44*'Price_Technical Assumption'!K30/1000</f>
        <v>36.08747675</v>
      </c>
      <c r="L34" s="502">
        <f>L44*'Price_Technical Assumption'!L30/1000</f>
        <v>36.860126750000006</v>
      </c>
      <c r="M34" s="502">
        <f>M44*'Price_Technical Assumption'!M30/1000</f>
        <v>37.684286749999998</v>
      </c>
      <c r="N34" s="502">
        <f>N44*'Price_Technical Assumption'!N30/1000</f>
        <v>38.559956750000005</v>
      </c>
      <c r="O34" s="502">
        <f>O44*'Price_Technical Assumption'!O30/1000</f>
        <v>39.487136749999998</v>
      </c>
      <c r="P34" s="502">
        <f>P44*'Price_Technical Assumption'!P30/1000</f>
        <v>40.465826749999991</v>
      </c>
      <c r="Q34" s="502">
        <f>Q44*'Price_Technical Assumption'!Q30/1000</f>
        <v>41.496026749999999</v>
      </c>
      <c r="R34" s="502">
        <f>R44*'Price_Technical Assumption'!R30/1000</f>
        <v>42.577736750000007</v>
      </c>
      <c r="S34" s="502">
        <f>S44*'Price_Technical Assumption'!S30/1000</f>
        <v>43.710956749999994</v>
      </c>
      <c r="T34" s="502">
        <f>T44*'Price_Technical Assumption'!T30/1000</f>
        <v>44.895686750000003</v>
      </c>
      <c r="U34" s="502">
        <f>U44*'Price_Technical Assumption'!U30/1000</f>
        <v>46.131926749999998</v>
      </c>
      <c r="V34" s="502">
        <f>V44*'Price_Technical Assumption'!V30/1000</f>
        <v>47.419676750000001</v>
      </c>
      <c r="W34" s="502">
        <f>W44*'Price_Technical Assumption'!W30/1000</f>
        <v>48.605168668750004</v>
      </c>
      <c r="X34" s="502">
        <f>X44*'Price_Technical Assumption'!X30/1000</f>
        <v>49.820297885468747</v>
      </c>
      <c r="Y34" s="502">
        <f>Y44*'Price_Technical Assumption'!Y30/1000</f>
        <v>22.664400000000001</v>
      </c>
      <c r="Z34" s="502">
        <f>Z44*'Price_Technical Assumption'!Z30/1000</f>
        <v>22.664400000000001</v>
      </c>
      <c r="AA34" s="502">
        <f>AA44*'Price_Technical Assumption'!AA30/1000</f>
        <v>22.664400000000001</v>
      </c>
      <c r="AB34" s="502">
        <f>AB44*'Price_Technical Assumption'!AB30/1000</f>
        <v>22.664400000000001</v>
      </c>
      <c r="AC34" s="502">
        <f>AC44*'Price_Technical Assumption'!AC30/1000</f>
        <v>22.664400000000001</v>
      </c>
      <c r="AD34" s="502">
        <f>AD44*'Price_Technical Assumption'!AD30/1000</f>
        <v>22.664400000000001</v>
      </c>
      <c r="AE34" s="502">
        <f>AE44*'Price_Technical Assumption'!AE30/1000</f>
        <v>22.664400000000001</v>
      </c>
      <c r="AF34" s="502">
        <f>AF44*'Price_Technical Assumption'!AF30/1000</f>
        <v>22.664400000000001</v>
      </c>
      <c r="AG34" s="502">
        <f>AG44*'Price_Technical Assumption'!AG30/1000</f>
        <v>22.664400000000001</v>
      </c>
      <c r="AH34" s="502">
        <f>AH44*'Price_Technical Assumption'!AH30/1000</f>
        <v>22.664400000000001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418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427</v>
      </c>
      <c r="C36" s="12"/>
      <c r="D36" s="499">
        <f>SUM(D34:D35)</f>
        <v>35.531796237716691</v>
      </c>
      <c r="E36" s="499">
        <f t="shared" ref="E36:AH36" si="5">SUM(E34:E35)</f>
        <v>35.153869022348211</v>
      </c>
      <c r="F36" s="499">
        <f t="shared" si="5"/>
        <v>35.339442713018641</v>
      </c>
      <c r="G36" s="499">
        <f t="shared" si="5"/>
        <v>35.918166316909208</v>
      </c>
      <c r="H36" s="499">
        <f t="shared" si="5"/>
        <v>36.602076178916477</v>
      </c>
      <c r="I36" s="499">
        <f t="shared" si="5"/>
        <v>37.326849786783974</v>
      </c>
      <c r="J36" s="499">
        <f t="shared" si="5"/>
        <v>38.075384077887492</v>
      </c>
      <c r="K36" s="499">
        <f t="shared" si="5"/>
        <v>38.877795497724115</v>
      </c>
      <c r="L36" s="499">
        <f t="shared" si="5"/>
        <v>39.734155060155842</v>
      </c>
      <c r="M36" s="499">
        <f t="shared" si="5"/>
        <v>40.644535909460515</v>
      </c>
      <c r="N36" s="499">
        <f t="shared" si="5"/>
        <v>41.609013384244335</v>
      </c>
      <c r="O36" s="499">
        <f t="shared" si="5"/>
        <v>42.627665083271658</v>
      </c>
      <c r="P36" s="499">
        <f t="shared" si="5"/>
        <v>43.700570933269802</v>
      </c>
      <c r="Q36" s="499">
        <f t="shared" si="5"/>
        <v>44.827813258767904</v>
      </c>
      <c r="R36" s="499">
        <f t="shared" si="5"/>
        <v>46.00947685403095</v>
      </c>
      <c r="S36" s="499">
        <f t="shared" si="5"/>
        <v>47.245649057151866</v>
      </c>
      <c r="T36" s="499">
        <f t="shared" si="5"/>
        <v>48.536419826366426</v>
      </c>
      <c r="U36" s="499">
        <f t="shared" si="5"/>
        <v>49.881881818657419</v>
      </c>
      <c r="V36" s="499">
        <f t="shared" si="5"/>
        <v>51.282130470717142</v>
      </c>
      <c r="W36" s="499">
        <f t="shared" si="5"/>
        <v>52.583496001088662</v>
      </c>
      <c r="X36" s="499">
        <f t="shared" si="5"/>
        <v>53.917975037777566</v>
      </c>
      <c r="Y36" s="499">
        <f t="shared" si="5"/>
        <v>26.885007466878083</v>
      </c>
      <c r="Z36" s="499">
        <f t="shared" si="5"/>
        <v>27.011625690884422</v>
      </c>
      <c r="AA36" s="499">
        <f t="shared" si="5"/>
        <v>27.142042461610956</v>
      </c>
      <c r="AB36" s="499">
        <f t="shared" si="5"/>
        <v>27.276371735459286</v>
      </c>
      <c r="AC36" s="499">
        <f t="shared" si="5"/>
        <v>27.414730887523064</v>
      </c>
      <c r="AD36" s="499">
        <f t="shared" si="5"/>
        <v>27.557240814148756</v>
      </c>
      <c r="AE36" s="499">
        <f t="shared" si="5"/>
        <v>27.704026038573218</v>
      </c>
      <c r="AF36" s="499">
        <f t="shared" si="5"/>
        <v>27.855214819730417</v>
      </c>
      <c r="AG36" s="499">
        <f t="shared" si="5"/>
        <v>28.010939264322328</v>
      </c>
      <c r="AH36" s="499">
        <f t="shared" si="5"/>
        <v>28.171335442251998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35.531796237716691</v>
      </c>
      <c r="E38" s="517">
        <f t="shared" ref="E38:AH38" si="6">IF($A$38="Pass-through",E36,E34)</f>
        <v>35.153869022348211</v>
      </c>
      <c r="F38" s="517">
        <f t="shared" si="6"/>
        <v>35.339442713018641</v>
      </c>
      <c r="G38" s="517">
        <f t="shared" si="6"/>
        <v>35.918166316909208</v>
      </c>
      <c r="H38" s="517">
        <f t="shared" si="6"/>
        <v>36.602076178916477</v>
      </c>
      <c r="I38" s="517">
        <f t="shared" si="6"/>
        <v>37.326849786783974</v>
      </c>
      <c r="J38" s="517">
        <f t="shared" si="6"/>
        <v>38.075384077887492</v>
      </c>
      <c r="K38" s="517">
        <f t="shared" si="6"/>
        <v>38.877795497724115</v>
      </c>
      <c r="L38" s="517">
        <f t="shared" si="6"/>
        <v>39.734155060155842</v>
      </c>
      <c r="M38" s="517">
        <f t="shared" si="6"/>
        <v>40.644535909460515</v>
      </c>
      <c r="N38" s="517">
        <f t="shared" si="6"/>
        <v>41.609013384244335</v>
      </c>
      <c r="O38" s="517">
        <f t="shared" si="6"/>
        <v>42.627665083271658</v>
      </c>
      <c r="P38" s="517">
        <f t="shared" si="6"/>
        <v>43.700570933269802</v>
      </c>
      <c r="Q38" s="517">
        <f t="shared" si="6"/>
        <v>44.827813258767904</v>
      </c>
      <c r="R38" s="518">
        <f t="shared" si="6"/>
        <v>46.00947685403095</v>
      </c>
      <c r="S38" s="516">
        <f t="shared" si="6"/>
        <v>47.245649057151866</v>
      </c>
      <c r="T38" s="517">
        <f t="shared" si="6"/>
        <v>48.536419826366426</v>
      </c>
      <c r="U38" s="517">
        <f t="shared" si="6"/>
        <v>49.881881818657419</v>
      </c>
      <c r="V38" s="517">
        <f t="shared" si="6"/>
        <v>51.282130470717142</v>
      </c>
      <c r="W38" s="517">
        <f t="shared" si="6"/>
        <v>52.583496001088662</v>
      </c>
      <c r="X38" s="517">
        <f t="shared" si="6"/>
        <v>53.917975037777566</v>
      </c>
      <c r="Y38" s="517">
        <f t="shared" si="6"/>
        <v>26.885007466878083</v>
      </c>
      <c r="Z38" s="517">
        <f t="shared" si="6"/>
        <v>27.011625690884422</v>
      </c>
      <c r="AA38" s="517">
        <f t="shared" si="6"/>
        <v>27.142042461610956</v>
      </c>
      <c r="AB38" s="517">
        <f t="shared" si="6"/>
        <v>27.276371735459286</v>
      </c>
      <c r="AC38" s="517">
        <f t="shared" si="6"/>
        <v>27.414730887523064</v>
      </c>
      <c r="AD38" s="517">
        <f t="shared" si="6"/>
        <v>27.557240814148756</v>
      </c>
      <c r="AE38" s="517">
        <f t="shared" si="6"/>
        <v>27.704026038573218</v>
      </c>
      <c r="AF38" s="517">
        <f t="shared" si="6"/>
        <v>27.855214819730417</v>
      </c>
      <c r="AG38" s="517">
        <f t="shared" si="6"/>
        <v>28.010939264322328</v>
      </c>
      <c r="AH38" s="518">
        <f t="shared" si="6"/>
        <v>28.171335442251998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409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410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412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411</v>
      </c>
      <c r="C44" s="12"/>
      <c r="D44" s="521">
        <f>D42*(1+D43)</f>
        <v>10302</v>
      </c>
      <c r="E44" s="522">
        <f t="shared" ref="E44:AH44" si="7">E42*(1+E43)</f>
        <v>10302</v>
      </c>
      <c r="F44" s="522">
        <f t="shared" si="7"/>
        <v>10302</v>
      </c>
      <c r="G44" s="522">
        <f t="shared" si="7"/>
        <v>10302</v>
      </c>
      <c r="H44" s="522">
        <f t="shared" si="7"/>
        <v>10302</v>
      </c>
      <c r="I44" s="522">
        <f t="shared" si="7"/>
        <v>10302</v>
      </c>
      <c r="J44" s="522">
        <f t="shared" si="7"/>
        <v>10302</v>
      </c>
      <c r="K44" s="522">
        <f t="shared" si="7"/>
        <v>10302</v>
      </c>
      <c r="L44" s="522">
        <f t="shared" si="7"/>
        <v>10302</v>
      </c>
      <c r="M44" s="522">
        <f t="shared" si="7"/>
        <v>10302</v>
      </c>
      <c r="N44" s="522">
        <f t="shared" si="7"/>
        <v>10302</v>
      </c>
      <c r="O44" s="522">
        <f t="shared" si="7"/>
        <v>10302</v>
      </c>
      <c r="P44" s="522">
        <f t="shared" si="7"/>
        <v>10302</v>
      </c>
      <c r="Q44" s="522">
        <f t="shared" si="7"/>
        <v>10302</v>
      </c>
      <c r="R44" s="523">
        <f t="shared" si="7"/>
        <v>10302</v>
      </c>
      <c r="S44" s="521">
        <f t="shared" si="7"/>
        <v>10302</v>
      </c>
      <c r="T44" s="522">
        <f t="shared" si="7"/>
        <v>10302</v>
      </c>
      <c r="U44" s="522">
        <f t="shared" si="7"/>
        <v>10302</v>
      </c>
      <c r="V44" s="522">
        <f t="shared" si="7"/>
        <v>10302</v>
      </c>
      <c r="W44" s="522">
        <f t="shared" si="7"/>
        <v>10302</v>
      </c>
      <c r="X44" s="522">
        <f t="shared" si="7"/>
        <v>10302</v>
      </c>
      <c r="Y44" s="522">
        <f t="shared" si="7"/>
        <v>10302</v>
      </c>
      <c r="Z44" s="522">
        <f t="shared" si="7"/>
        <v>10302</v>
      </c>
      <c r="AA44" s="522">
        <f t="shared" si="7"/>
        <v>10302</v>
      </c>
      <c r="AB44" s="522">
        <f t="shared" si="7"/>
        <v>10302</v>
      </c>
      <c r="AC44" s="522">
        <f t="shared" si="7"/>
        <v>10302</v>
      </c>
      <c r="AD44" s="522">
        <f t="shared" si="7"/>
        <v>10302</v>
      </c>
      <c r="AE44" s="522">
        <f t="shared" si="7"/>
        <v>10302</v>
      </c>
      <c r="AF44" s="522">
        <f t="shared" si="7"/>
        <v>10302</v>
      </c>
      <c r="AG44" s="522">
        <f t="shared" si="7"/>
        <v>10302</v>
      </c>
      <c r="AH44" s="523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436</v>
      </c>
    </row>
    <row r="4" spans="3:9">
      <c r="C4" s="535" t="s">
        <v>187</v>
      </c>
      <c r="D4" s="535" t="s">
        <v>437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438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topLeftCell="A13" zoomScale="75" zoomScaleNormal="75" workbookViewId="0">
      <selection activeCell="C32" sqref="C3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10041.5</v>
      </c>
      <c r="D10" s="74">
        <f>IF(D6&lt;Assumptions!$H$19,12*'Price_Technical Assumption'!E21*Assumptions!$H$68,IF(AND(C6&lt;Assumptions!$H$19,D6&gt;Assumptions!$H$19),(1-$C$6)*12*'Price_Technical Assumption'!E21*Assumptions!$H$68,0))</f>
        <v>17214</v>
      </c>
      <c r="E10" s="74">
        <f>IF(E6&lt;Assumptions!$H$19,12*'Price_Technical Assumption'!F21*Assumptions!$H$68,IF(AND(D6&lt;Assumptions!$H$19,E6&gt;Assumptions!$H$19),(1-$C$6)*12*'Price_Technical Assumption'!F21*Assumptions!$H$68,0))</f>
        <v>17214</v>
      </c>
      <c r="F10" s="74">
        <f>IF(F6&lt;Assumptions!$H$19,12*'Price_Technical Assumption'!G21*Assumptions!$H$68,IF(AND(E6&lt;Assumptions!$H$19,F6&gt;Assumptions!$H$19),(1-$C$6)*12*'Price_Technical Assumption'!G21*Assumptions!$H$68,0))</f>
        <v>17214</v>
      </c>
      <c r="G10" s="74">
        <f>IF(G6&lt;Assumptions!$H$19,12*'Price_Technical Assumption'!H21*Assumptions!$H$68,IF(AND(F6&lt;Assumptions!$H$19,G6&gt;Assumptions!$H$19),(1-$C$6)*12*'Price_Technical Assumption'!H21*Assumptions!$H$68,0))</f>
        <v>17214</v>
      </c>
      <c r="H10" s="74">
        <f>IF(H6&lt;Assumptions!$H$19,12*'Price_Technical Assumption'!I21*Assumptions!$H$68,IF(AND(G6&lt;Assumptions!$H$19,H6&gt;Assumptions!$H$19),(1-$C$6)*12*'Price_Technical Assumption'!I21*Assumptions!$H$68,0))</f>
        <v>17214</v>
      </c>
      <c r="I10" s="74">
        <f>IF(I6&lt;Assumptions!$H$19,12*'Price_Technical Assumption'!J21*Assumptions!$H$68,IF(AND(H6&lt;Assumptions!$H$19,I6&gt;Assumptions!$H$19),(1-$C$6)*12*'Price_Technical Assumption'!J21*Assumptions!$H$68,0))</f>
        <v>17214</v>
      </c>
      <c r="J10" s="74">
        <f>IF(J6&lt;Assumptions!$H$19,12*'Price_Technical Assumption'!K21*Assumptions!$H$68,IF(AND(I6&lt;Assumptions!$H$19,J6&gt;Assumptions!$H$19),(1-$C$6)*12*'Price_Technical Assumption'!K21*Assumptions!$H$68,0))</f>
        <v>17214</v>
      </c>
      <c r="K10" s="74">
        <f>IF(K6&lt;Assumptions!$H$19,12*'Price_Technical Assumption'!L21*Assumptions!$H$68,IF(AND(J6&lt;Assumptions!$H$19,K6&gt;Assumptions!$H$19),(1-$C$6)*12*'Price_Technical Assumption'!L21*Assumptions!$H$68,0))</f>
        <v>17214</v>
      </c>
      <c r="L10" s="74">
        <f>IF(L6&lt;Assumptions!$H$19,12*'Price_Technical Assumption'!M21*Assumptions!$H$68,IF(AND(K6&lt;Assumptions!$H$19,L6&gt;Assumptions!$H$19),(1-$C$6)*12*'Price_Technical Assumption'!M21*Assumptions!$H$68,0))</f>
        <v>17214</v>
      </c>
      <c r="M10" s="74">
        <f>IF(M6&lt;Assumptions!$H$19,12*'Price_Technical Assumption'!N21*Assumptions!$H$68,IF(AND(L6&lt;Assumptions!$H$19,M6&gt;Assumptions!$H$19),(1-$C$6)*12*'Price_Technical Assumption'!N21*Assumptions!$H$68,0))</f>
        <v>17214</v>
      </c>
      <c r="N10" s="74">
        <f>IF(N6&lt;Assumptions!$H$19,12*'Price_Technical Assumption'!O21*Assumptions!$H$68,IF(AND(M6&lt;Assumptions!$H$19,N6&gt;Assumptions!$H$19),(1-$C$6)*12*'Price_Technical Assumption'!O21*Assumptions!$H$68,0))</f>
        <v>17214</v>
      </c>
      <c r="O10" s="74">
        <f>IF(O6&lt;Assumptions!$H$19,12*'Price_Technical Assumption'!P21*Assumptions!$H$68,IF(AND(N6&lt;Assumptions!$H$19,O6&gt;Assumptions!$H$19),(1-$C$6)*12*'Price_Technical Assumption'!P21*Assumptions!$H$68,0))</f>
        <v>17214</v>
      </c>
      <c r="P10" s="74">
        <f>IF(P6&lt;Assumptions!$H$19,12*'Price_Technical Assumption'!Q21*Assumptions!$H$68,IF(AND(O6&lt;Assumptions!$H$19,P6&gt;Assumptions!$H$19),(1-$C$6)*12*'Price_Technical Assumption'!Q21*Assumptions!$H$68,0))</f>
        <v>17214</v>
      </c>
      <c r="Q10" s="74">
        <f>IF(Q6&lt;Assumptions!$H$19,12*'Price_Technical Assumption'!R21*Assumptions!$H$68,IF(AND(P6&lt;Assumptions!$H$19,Q6&gt;Assumptions!$H$19),(1-$C$6)*12*'Price_Technical Assumption'!R21*Assumptions!$H$68,0))</f>
        <v>17214</v>
      </c>
      <c r="R10" s="74">
        <f>IF(R6&lt;Assumptions!$H$19,12*'Price_Technical Assumption'!S21*Assumptions!$H$68,IF(AND(Q6&lt;Assumptions!$H$19,R6&gt;Assumptions!$H$19),(1-$C$6)*12*'Price_Technical Assumption'!S21*Assumptions!$H$68,0))</f>
        <v>17214</v>
      </c>
      <c r="S10" s="74">
        <f>IF(S6&lt;Assumptions!$H$19,12*'Price_Technical Assumption'!T21*Assumptions!$H$68,IF(AND(R6&lt;Assumptions!$H$19,S6&gt;Assumptions!$H$19),(1-$C$6)*12*'Price_Technical Assumption'!T21*Assumptions!$H$68,0))</f>
        <v>17214</v>
      </c>
      <c r="T10" s="74">
        <f>IF(T6&lt;Assumptions!$H$19,12*'Price_Technical Assumption'!U21*Assumptions!$H$68,IF(AND(S6&lt;Assumptions!$H$19,T6&gt;Assumptions!$H$19),(1-$C$6)*12*'Price_Technical Assumption'!U21*Assumptions!$H$68,0))</f>
        <v>17214</v>
      </c>
      <c r="U10" s="74">
        <f>IF(U6&lt;Assumptions!$H$19,12*'Price_Technical Assumption'!V21*Assumptions!$H$68,IF(AND(T6&lt;Assumptions!$H$19,U6&gt;Assumptions!$H$19),(1-$C$6)*12*'Price_Technical Assumption'!V21*Assumptions!$H$68,0))</f>
        <v>17214</v>
      </c>
      <c r="V10" s="74">
        <f>IF(V6&lt;Assumptions!$H$19,12*'Price_Technical Assumption'!W21*Assumptions!$H$68,IF(AND(U6&lt;Assumptions!$H$19,V6&gt;Assumptions!$H$19),(1-$C$6)*12*'Price_Technical Assumption'!W21*Assumptions!$H$68,0))</f>
        <v>17214</v>
      </c>
      <c r="W10" s="74">
        <f>IF(W6&lt;Assumptions!$H$19,12*'Price_Technical Assumption'!X21*Assumptions!$H$68,IF(AND(V6&lt;Assumptions!$H$19,W6&gt;Assumptions!$H$19),(1-$C$6)*12*'Price_Technical Assumption'!X21*Assumptions!$H$68,0))</f>
        <v>6940.3757603189906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9451.4577992326394</v>
      </c>
      <c r="D11" s="74">
        <f>'Price_Technical Assumption'!E38*Assumptions!$H$62/1000</f>
        <v>9350.9291599446242</v>
      </c>
      <c r="E11" s="74">
        <f>'Price_Technical Assumption'!F38*Assumptions!$H$62/1000</f>
        <v>9400.2917616629584</v>
      </c>
      <c r="F11" s="74">
        <f>'Price_Technical Assumption'!G38*Assumptions!$H$62/1000</f>
        <v>9554.232240297848</v>
      </c>
      <c r="G11" s="74">
        <f>'Price_Technical Assumption'!H38*Assumptions!$H$62/1000</f>
        <v>9736.1522635917827</v>
      </c>
      <c r="H11" s="74">
        <f>'Price_Technical Assumption'!I38*Assumptions!$H$62/1000</f>
        <v>9928.9420432845382</v>
      </c>
      <c r="I11" s="74">
        <f>'Price_Technical Assumption'!J38*Assumptions!$H$62/1000</f>
        <v>10128.052164718072</v>
      </c>
      <c r="J11" s="74">
        <f>'Price_Technical Assumption'!K38*Assumptions!$H$62/1000</f>
        <v>10341.493602394614</v>
      </c>
      <c r="K11" s="74">
        <f>'Price_Technical Assumption'!L38*Assumptions!$H$62/1000</f>
        <v>10569.285246001455</v>
      </c>
      <c r="L11" s="74">
        <f>'Price_Technical Assumption'!M38*Assumptions!$H$62/1000</f>
        <v>10811.446551916497</v>
      </c>
      <c r="M11" s="74">
        <f>'Price_Technical Assumption'!N38*Assumptions!$H$62/1000</f>
        <v>11067.997560208993</v>
      </c>
      <c r="N11" s="74">
        <f>'Price_Technical Assumption'!O38*Assumptions!$H$62/1000</f>
        <v>11338.958912150261</v>
      </c>
      <c r="O11" s="74">
        <f>'Price_Technical Assumption'!P38*Assumptions!$H$62/1000</f>
        <v>11624.351868249767</v>
      </c>
      <c r="P11" s="74">
        <f>'Price_Technical Assumption'!Q38*Assumptions!$H$62/1000</f>
        <v>11924.198326832262</v>
      </c>
      <c r="Q11" s="74">
        <f>'Price_Technical Assumption'!R38*Assumptions!$H$62/1000</f>
        <v>12238.520843172233</v>
      </c>
      <c r="R11" s="74">
        <f>'Price_Technical Assumption'!S38*Assumptions!$H$62/1000</f>
        <v>12567.342649202397</v>
      </c>
      <c r="S11" s="74">
        <f>'Price_Technical Assumption'!T38*Assumptions!$H$62/1000</f>
        <v>12910.687673813471</v>
      </c>
      <c r="T11" s="74">
        <f>'Price_Technical Assumption'!U38*Assumptions!$H$62/1000</f>
        <v>13268.580563762873</v>
      </c>
      <c r="U11" s="74">
        <f>'Price_Technical Assumption'!V38*Assumptions!$H$62/1000</f>
        <v>13641.04670521076</v>
      </c>
      <c r="V11" s="74">
        <f>'Price_Technical Assumption'!W38*Assumptions!$H$62/1000</f>
        <v>13987.209936289584</v>
      </c>
      <c r="W11" s="74">
        <f>'Price_Technical Assumption'!X38*Assumptions!$H$62/1000</f>
        <v>14342.181360048833</v>
      </c>
      <c r="X11" s="74">
        <f>'Price_Technical Assumption'!Y38*Assumptions!$H$62/1000</f>
        <v>7151.4119861895706</v>
      </c>
      <c r="Y11" s="74">
        <f>'Price_Technical Assumption'!Z38*Assumptions!$H$62/1000</f>
        <v>7185.0924337752567</v>
      </c>
      <c r="Z11" s="74">
        <f>'Price_Technical Assumption'!AA38*Assumptions!$H$62/1000</f>
        <v>7219.7832947885145</v>
      </c>
      <c r="AA11" s="74">
        <f>'Price_Technical Assumption'!AB38*Assumptions!$H$62/1000</f>
        <v>7255.5148816321698</v>
      </c>
      <c r="AB11" s="74">
        <f>'Price_Technical Assumption'!AC38*Assumptions!$H$62/1000</f>
        <v>7292.3184160811352</v>
      </c>
      <c r="AC11" s="74">
        <f>'Price_Technical Assumption'!AD38*Assumptions!$H$62/1000</f>
        <v>7330.2260565635688</v>
      </c>
      <c r="AD11" s="74">
        <f>'Price_Technical Assumption'!AE38*Assumptions!$H$62/1000</f>
        <v>7369.2709262604758</v>
      </c>
      <c r="AE11" s="74">
        <f>'Price_Technical Assumption'!AF38*Assumptions!$H$62/1000</f>
        <v>7409.4871420482905</v>
      </c>
      <c r="AF11" s="74">
        <f>'Price_Technical Assumption'!AG38*Assumptions!$H$62/1000</f>
        <v>7450.9098443097391</v>
      </c>
      <c r="AG11" s="74">
        <f>'Price_Technical Assumption'!AH38*Assumptions!$H$62/1000</f>
        <v>7493.5752276390313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19492.957799232638</v>
      </c>
      <c r="D13" s="65">
        <f t="shared" si="0"/>
        <v>26564.929159944622</v>
      </c>
      <c r="E13" s="65">
        <f t="shared" si="0"/>
        <v>26614.291761662957</v>
      </c>
      <c r="F13" s="65">
        <f t="shared" si="0"/>
        <v>26768.232240297846</v>
      </c>
      <c r="G13" s="65">
        <f t="shared" si="0"/>
        <v>26950.152263591783</v>
      </c>
      <c r="H13" s="65">
        <f t="shared" si="0"/>
        <v>27142.942043284536</v>
      </c>
      <c r="I13" s="65">
        <f t="shared" si="0"/>
        <v>27342.052164718072</v>
      </c>
      <c r="J13" s="65">
        <f t="shared" si="0"/>
        <v>27555.493602394614</v>
      </c>
      <c r="K13" s="65">
        <f t="shared" si="0"/>
        <v>27783.285246001455</v>
      </c>
      <c r="L13" s="65">
        <f t="shared" si="0"/>
        <v>28025.446551916495</v>
      </c>
      <c r="M13" s="65">
        <f t="shared" si="0"/>
        <v>28281.997560208991</v>
      </c>
      <c r="N13" s="65">
        <f t="shared" si="0"/>
        <v>28552.958912150261</v>
      </c>
      <c r="O13" s="65">
        <f t="shared" si="0"/>
        <v>28838.351868249767</v>
      </c>
      <c r="P13" s="65">
        <f t="shared" si="0"/>
        <v>29138.198326832262</v>
      </c>
      <c r="Q13" s="65">
        <f t="shared" si="0"/>
        <v>29452.520843172235</v>
      </c>
      <c r="R13" s="65">
        <f t="shared" si="0"/>
        <v>29781.342649202397</v>
      </c>
      <c r="S13" s="65">
        <f t="shared" si="0"/>
        <v>30124.687673813471</v>
      </c>
      <c r="T13" s="65">
        <f t="shared" si="0"/>
        <v>30482.580563762873</v>
      </c>
      <c r="U13" s="65">
        <f t="shared" si="0"/>
        <v>30855.04670521076</v>
      </c>
      <c r="V13" s="65">
        <f t="shared" si="0"/>
        <v>31201.209936289582</v>
      </c>
      <c r="W13" s="65">
        <f t="shared" si="0"/>
        <v>21282.557120367823</v>
      </c>
      <c r="X13" s="65">
        <f t="shared" si="0"/>
        <v>7151.4119861895706</v>
      </c>
      <c r="Y13" s="65">
        <f t="shared" si="0"/>
        <v>7185.0924337752567</v>
      </c>
      <c r="Z13" s="65">
        <f t="shared" si="0"/>
        <v>7219.7832947885145</v>
      </c>
      <c r="AA13" s="65">
        <f t="shared" si="0"/>
        <v>7255.5148816321698</v>
      </c>
      <c r="AB13" s="65">
        <f t="shared" si="0"/>
        <v>7292.3184160811352</v>
      </c>
      <c r="AC13" s="65">
        <f t="shared" si="0"/>
        <v>7330.2260565635688</v>
      </c>
      <c r="AD13" s="65">
        <f t="shared" si="0"/>
        <v>7369.2709262604758</v>
      </c>
      <c r="AE13" s="65">
        <f t="shared" si="0"/>
        <v>7409.4871420482905</v>
      </c>
      <c r="AF13" s="65">
        <f t="shared" si="0"/>
        <v>7450.9098443097391</v>
      </c>
      <c r="AG13" s="65">
        <f t="shared" si="0"/>
        <v>7493.5752276390313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8847.9611255</v>
      </c>
      <c r="D16" s="221">
        <f>Assumptions!$H$62*'Price_Technical Assumption'!E30*'Price_Technical Assumption'!E44/1000000</f>
        <v>8729.3275860000012</v>
      </c>
      <c r="E16" s="221">
        <f>Assumptions!$H$62*'Price_Technical Assumption'!F30*'Price_Technical Assumption'!F44/1000000</f>
        <v>8760.0421404999997</v>
      </c>
      <c r="F16" s="221">
        <f>Assumptions!$H$62*'Price_Technical Assumption'!G30*'Price_Technical Assumption'!G44/1000000</f>
        <v>8894.775130500002</v>
      </c>
      <c r="G16" s="221">
        <f>Assumptions!$H$62*'Price_Technical Assumption'!H30*'Price_Technical Assumption'!H44/1000000</f>
        <v>9056.9114405</v>
      </c>
      <c r="H16" s="221">
        <f>Assumptions!$H$62*'Price_Technical Assumption'!I30*'Price_Technical Assumption'!I44/1000000</f>
        <v>9229.3239955000008</v>
      </c>
      <c r="I16" s="221">
        <f>Assumptions!$H$62*'Price_Technical Assumption'!J30*'Price_Technical Assumption'!J44/1000000</f>
        <v>9407.4455754999999</v>
      </c>
      <c r="J16" s="221">
        <f>Assumptions!$H$62*'Price_Technical Assumption'!K30*'Price_Technical Assumption'!K44/1000000</f>
        <v>9599.2688154999996</v>
      </c>
      <c r="K16" s="221">
        <f>Assumptions!$H$62*'Price_Technical Assumption'!L30*'Price_Technical Assumption'!L44/1000000</f>
        <v>9804.7937155</v>
      </c>
      <c r="L16" s="221">
        <f>Assumptions!$H$62*'Price_Technical Assumption'!M30*'Price_Technical Assumption'!M44/1000000</f>
        <v>10024.020275499999</v>
      </c>
      <c r="M16" s="221">
        <f>Assumptions!$H$62*'Price_Technical Assumption'!N30*'Price_Technical Assumption'!N44/1000000</f>
        <v>10256.948495500001</v>
      </c>
      <c r="N16" s="221">
        <f>Assumptions!$H$62*'Price_Technical Assumption'!O30*'Price_Technical Assumption'!O44/1000000</f>
        <v>10503.578375499999</v>
      </c>
      <c r="O16" s="221">
        <f>Assumptions!$H$62*'Price_Technical Assumption'!P30*'Price_Technical Assumption'!P44/1000000</f>
        <v>10763.909915499999</v>
      </c>
      <c r="P16" s="221">
        <f>Assumptions!$H$62*'Price_Technical Assumption'!Q30*'Price_Technical Assumption'!Q44/1000000</f>
        <v>11037.9431155</v>
      </c>
      <c r="Q16" s="221">
        <f>Assumptions!$H$62*'Price_Technical Assumption'!R30*'Price_Technical Assumption'!R44/1000000</f>
        <v>11325.677975500001</v>
      </c>
      <c r="R16" s="221">
        <f>Assumptions!$H$62*'Price_Technical Assumption'!S30*'Price_Technical Assumption'!S44/1000000</f>
        <v>11627.114495499998</v>
      </c>
      <c r="S16" s="221">
        <f>Assumptions!$H$62*'Price_Technical Assumption'!T30*'Price_Technical Assumption'!T44/1000000</f>
        <v>11942.2526755</v>
      </c>
      <c r="T16" s="221">
        <f>Assumptions!$H$62*'Price_Technical Assumption'!U30*'Price_Technical Assumption'!U44/1000000</f>
        <v>12271.0925155</v>
      </c>
      <c r="U16" s="221">
        <f>Assumptions!$H$62*'Price_Technical Assumption'!V30*'Price_Technical Assumption'!V44/1000000</f>
        <v>12613.6340155</v>
      </c>
      <c r="V16" s="221">
        <f>Assumptions!$H$62*'Price_Technical Assumption'!W30*'Price_Technical Assumption'!W44/1000000</f>
        <v>12928.974865887501</v>
      </c>
      <c r="W16" s="221">
        <f>Assumptions!$H$62*'Price_Technical Assumption'!X30*'Price_Technical Assumption'!X44/1000000</f>
        <v>13252.199237534685</v>
      </c>
      <c r="X16" s="221">
        <f>Assumptions!$H$62*'Price_Technical Assumption'!Y30*'Price_Technical Assumption'!Y44/1000000</f>
        <v>6028.7304000000004</v>
      </c>
      <c r="Y16" s="221">
        <f>Assumptions!$H$62*'Price_Technical Assumption'!Z30*'Price_Technical Assumption'!Z44/1000000</f>
        <v>6028.7304000000004</v>
      </c>
      <c r="Z16" s="221">
        <f>Assumptions!$H$62*'Price_Technical Assumption'!AA30*'Price_Technical Assumption'!AA44/1000000</f>
        <v>6028.7304000000004</v>
      </c>
      <c r="AA16" s="221">
        <f>Assumptions!$H$62*'Price_Technical Assumption'!AB30*'Price_Technical Assumption'!AB44/1000000</f>
        <v>6028.7304000000004</v>
      </c>
      <c r="AB16" s="221">
        <f>Assumptions!$H$62*'Price_Technical Assumption'!AC30*'Price_Technical Assumption'!AC44/1000000</f>
        <v>6028.7304000000004</v>
      </c>
      <c r="AC16" s="221">
        <f>Assumptions!$H$62*'Price_Technical Assumption'!AD30*'Price_Technical Assumption'!AD44/1000000</f>
        <v>6028.7304000000004</v>
      </c>
      <c r="AD16" s="221">
        <f>Assumptions!$H$62*'Price_Technical Assumption'!AE30*'Price_Technical Assumption'!AE44/1000000</f>
        <v>6028.7304000000004</v>
      </c>
      <c r="AE16" s="221">
        <f>Assumptions!$H$62*'Price_Technical Assumption'!AF30*'Price_Technical Assumption'!AF44/1000000</f>
        <v>6028.7304000000004</v>
      </c>
      <c r="AF16" s="221">
        <f>Assumptions!$H$62*'Price_Technical Assumption'!AG30*'Price_Technical Assumption'!AG44/1000000</f>
        <v>6028.7304000000004</v>
      </c>
      <c r="AG16" s="221">
        <f>Assumptions!$H$62*'Price_Technical Assumption'!AH30*'Price_Technical Assumption'!AH44/1000000</f>
        <v>6028.7304000000004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159.66952354361351</v>
      </c>
      <c r="D18" s="74">
        <f>C18*(1+Assumptions!$N$11)</f>
        <v>164.45960924992193</v>
      </c>
      <c r="E18" s="74">
        <f>D18*(1+Assumptions!$N$11)</f>
        <v>169.39339752741958</v>
      </c>
      <c r="F18" s="74">
        <f>E18*(1+Assumptions!$N$11)</f>
        <v>174.47519945324217</v>
      </c>
      <c r="G18" s="74">
        <f>F18*(1+Assumptions!$N$11)</f>
        <v>179.70945543683945</v>
      </c>
      <c r="H18" s="74">
        <f>G18*(1+Assumptions!$N$11)</f>
        <v>185.10073909994463</v>
      </c>
      <c r="I18" s="74">
        <f>H18*(1+Assumptions!$N$11)</f>
        <v>190.65376127294297</v>
      </c>
      <c r="J18" s="74">
        <f>I18*(1+Assumptions!$N$11)</f>
        <v>196.37337411113126</v>
      </c>
      <c r="K18" s="74">
        <f>J18*(1+Assumptions!$N$11)</f>
        <v>202.26457533446521</v>
      </c>
      <c r="L18" s="74">
        <f>K18*(1+Assumptions!$N$11)</f>
        <v>208.33251259449918</v>
      </c>
      <c r="M18" s="74">
        <f>L18*(1+Assumptions!$N$11)</f>
        <v>214.58248797233415</v>
      </c>
      <c r="N18" s="74">
        <f>M18*(1+Assumptions!$N$11)</f>
        <v>221.01996261150418</v>
      </c>
      <c r="O18" s="74">
        <f>N18*(1+Assumptions!$N$11)</f>
        <v>227.65056148984931</v>
      </c>
      <c r="P18" s="74">
        <f>O18*(1+Assumptions!$N$11)</f>
        <v>234.4800783345448</v>
      </c>
      <c r="Q18" s="74">
        <f>P18*(1+Assumptions!$N$11)</f>
        <v>241.51448068458114</v>
      </c>
      <c r="R18" s="74">
        <f>Q18*(1+Assumptions!$N$11)</f>
        <v>248.75991510511858</v>
      </c>
      <c r="S18" s="74">
        <f>R18*(1+Assumptions!$N$11)</f>
        <v>256.22271255827212</v>
      </c>
      <c r="T18" s="74">
        <f>S18*(1+Assumptions!$N$11)</f>
        <v>263.90939393502032</v>
      </c>
      <c r="U18" s="74">
        <f>T18*(1+Assumptions!$N$11)</f>
        <v>271.82667575307096</v>
      </c>
      <c r="V18" s="74">
        <f>U18*(1+Assumptions!$N$11)</f>
        <v>279.98147602566308</v>
      </c>
      <c r="W18" s="74">
        <f>V18*(1+Assumptions!$N$11)</f>
        <v>288.38092030643298</v>
      </c>
      <c r="X18" s="74">
        <f>W18*(1+Assumptions!$N$11)</f>
        <v>297.03234791562596</v>
      </c>
      <c r="Y18" s="74">
        <f>X18*(1+Assumptions!$N$11)</f>
        <v>305.94331835309475</v>
      </c>
      <c r="Z18" s="74">
        <f>Y18*(1+Assumptions!$N$11)</f>
        <v>315.12161790368759</v>
      </c>
      <c r="AA18" s="74">
        <f>Z18*(1+Assumptions!$N$11)</f>
        <v>324.5752664407982</v>
      </c>
      <c r="AB18" s="74">
        <f>AA18*(1+Assumptions!$N$11)</f>
        <v>334.31252443402218</v>
      </c>
      <c r="AC18" s="74">
        <f>AB18*(1+Assumptions!$N$11)</f>
        <v>344.34190016704287</v>
      </c>
      <c r="AD18" s="74">
        <f>AC18*(1+Assumptions!$N$11)</f>
        <v>354.67215717205414</v>
      </c>
      <c r="AE18" s="74">
        <f>AD18*(1+Assumptions!$N$11)</f>
        <v>365.31232188721577</v>
      </c>
      <c r="AF18" s="74">
        <f>AE18*(1+Assumptions!$N$11)</f>
        <v>376.27169154383228</v>
      </c>
      <c r="AG18" s="74">
        <f>AF18*(1+Assumptions!$N$11)</f>
        <v>387.55984229014723</v>
      </c>
    </row>
    <row r="19" spans="1:47">
      <c r="A19" s="3" t="s">
        <v>254</v>
      </c>
      <c r="C19" s="74">
        <f>Assumptions!$P$16*Assumptions!$H$62/1000*(1+Assumptions!$N$11)^IS!C6</f>
        <v>443.82715018902741</v>
      </c>
      <c r="D19" s="74">
        <f>C19*(1+Assumptions!$N$11)</f>
        <v>457.14196469469823</v>
      </c>
      <c r="E19" s="74">
        <f>D19*(1+Assumptions!$N$11)</f>
        <v>470.85622363553921</v>
      </c>
      <c r="F19" s="74">
        <f>E19*(1+Assumptions!$N$11)</f>
        <v>484.98191034460541</v>
      </c>
      <c r="G19" s="74">
        <f>F19*(1+Assumptions!$N$11)</f>
        <v>499.53136765494361</v>
      </c>
      <c r="H19" s="74">
        <f>G19*(1+Assumptions!$N$11)</f>
        <v>514.51730868459197</v>
      </c>
      <c r="I19" s="74">
        <f>H19*(1+Assumptions!$N$11)</f>
        <v>529.95282794512968</v>
      </c>
      <c r="J19" s="74">
        <f>I19*(1+Assumptions!$N$11)</f>
        <v>545.85141278348362</v>
      </c>
      <c r="K19" s="74">
        <f>J19*(1+Assumptions!$N$11)</f>
        <v>562.22695516698809</v>
      </c>
      <c r="L19" s="74">
        <f>K19*(1+Assumptions!$N$11)</f>
        <v>579.09376382199775</v>
      </c>
      <c r="M19" s="74">
        <f>L19*(1+Assumptions!$N$11)</f>
        <v>596.46657673665766</v>
      </c>
      <c r="N19" s="74">
        <f>M19*(1+Assumptions!$N$11)</f>
        <v>614.36057403875736</v>
      </c>
      <c r="O19" s="74">
        <f>N19*(1+Assumptions!$N$11)</f>
        <v>632.79139125992015</v>
      </c>
      <c r="P19" s="74">
        <f>O19*(1+Assumptions!$N$11)</f>
        <v>651.77513299771772</v>
      </c>
      <c r="Q19" s="74">
        <f>P19*(1+Assumptions!$N$11)</f>
        <v>671.32838698764931</v>
      </c>
      <c r="R19" s="74">
        <f>Q19*(1+Assumptions!$N$11)</f>
        <v>691.46823859727886</v>
      </c>
      <c r="S19" s="74">
        <f>R19*(1+Assumptions!$N$11)</f>
        <v>712.21228575519729</v>
      </c>
      <c r="T19" s="74">
        <f>S19*(1+Assumptions!$N$11)</f>
        <v>733.5786543278532</v>
      </c>
      <c r="U19" s="74">
        <f>T19*(1+Assumptions!$N$11)</f>
        <v>755.58601395768881</v>
      </c>
      <c r="V19" s="74">
        <f>U19*(1+Assumptions!$N$11)</f>
        <v>778.25359437641953</v>
      </c>
      <c r="W19" s="74">
        <f>V19*(1+Assumptions!$N$11)</f>
        <v>801.60120220771216</v>
      </c>
      <c r="X19" s="74">
        <f>W19*(1+Assumptions!$N$11)</f>
        <v>825.64923827394352</v>
      </c>
      <c r="Y19" s="74">
        <f>X19*(1+Assumptions!$N$11)</f>
        <v>850.41871542216188</v>
      </c>
      <c r="Z19" s="74">
        <f>Y19*(1+Assumptions!$N$11)</f>
        <v>875.93127688482673</v>
      </c>
      <c r="AA19" s="74">
        <f>Z19*(1+Assumptions!$N$11)</f>
        <v>902.20921519137153</v>
      </c>
      <c r="AB19" s="74">
        <f>AA19*(1+Assumptions!$N$11)</f>
        <v>929.27549164711274</v>
      </c>
      <c r="AC19" s="74">
        <f>AB19*(1+Assumptions!$N$11)</f>
        <v>957.15375639652621</v>
      </c>
      <c r="AD19" s="74">
        <f>AC19*(1+Assumptions!$N$11)</f>
        <v>985.86836908842201</v>
      </c>
      <c r="AE19" s="74">
        <f>AD19*(1+Assumptions!$N$11)</f>
        <v>1015.4444201610747</v>
      </c>
      <c r="AF19" s="74">
        <f>AE19*(1+Assumptions!$N$11)</f>
        <v>1045.9077527659069</v>
      </c>
      <c r="AG19" s="74">
        <f>AF19*(1+Assumptions!$N$11)</f>
        <v>1077.2849853488842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10518.791132565973</v>
      </c>
      <c r="D30" s="65">
        <f t="shared" si="1"/>
        <v>10937.24915994462</v>
      </c>
      <c r="E30" s="65">
        <f t="shared" si="1"/>
        <v>11030.121361662957</v>
      </c>
      <c r="F30" s="65">
        <f t="shared" si="1"/>
        <v>11228.795128297852</v>
      </c>
      <c r="G30" s="65">
        <f t="shared" si="1"/>
        <v>11456.707206231782</v>
      </c>
      <c r="H30" s="65">
        <f t="shared" si="1"/>
        <v>11696.783905563736</v>
      </c>
      <c r="I30" s="65">
        <f t="shared" si="1"/>
        <v>11944.512959652848</v>
      </c>
      <c r="J30" s="65">
        <f t="shared" si="1"/>
        <v>12207.943571500378</v>
      </c>
      <c r="K30" s="65">
        <f t="shared" si="1"/>
        <v>12487.133971509793</v>
      </c>
      <c r="L30" s="65">
        <f t="shared" si="1"/>
        <v>12782.144101666079</v>
      </c>
      <c r="M30" s="65">
        <f t="shared" si="1"/>
        <v>13093.035666176571</v>
      </c>
      <c r="N30" s="65">
        <f t="shared" si="1"/>
        <v>13419.87218361689</v>
      </c>
      <c r="O30" s="65">
        <f t="shared" si="1"/>
        <v>13762.719040626815</v>
      </c>
      <c r="P30" s="65">
        <f t="shared" si="1"/>
        <v>14121.643547202373</v>
      </c>
      <c r="Q30" s="65">
        <f t="shared" si="1"/>
        <v>14496.714993631629</v>
      </c>
      <c r="R30" s="65">
        <f t="shared" si="1"/>
        <v>14888.004709123325</v>
      </c>
      <c r="S30" s="65">
        <f t="shared" si="1"/>
        <v>15295.586122178729</v>
      </c>
      <c r="T30" s="65">
        <f t="shared" si="1"/>
        <v>15719.534822758729</v>
      </c>
      <c r="U30" s="65">
        <f t="shared" si="1"/>
        <v>16159.928626299721</v>
      </c>
      <c r="V30" s="65">
        <f t="shared" si="1"/>
        <v>16575.94533002091</v>
      </c>
      <c r="W30" s="65">
        <f t="shared" si="1"/>
        <v>17002.751570901983</v>
      </c>
      <c r="X30" s="65">
        <f t="shared" si="1"/>
        <v>9885.855513784405</v>
      </c>
      <c r="Y30" s="65">
        <f t="shared" ref="Y30:AG30" si="2">SUM(Y16:Y29)</f>
        <v>9995.5066018223461</v>
      </c>
      <c r="Z30" s="65">
        <f t="shared" si="2"/>
        <v>10108.325969193909</v>
      </c>
      <c r="AA30" s="65">
        <f t="shared" si="2"/>
        <v>10224.406239212964</v>
      </c>
      <c r="AB30" s="65">
        <f t="shared" si="2"/>
        <v>10343.842765391451</v>
      </c>
      <c r="AC30" s="65">
        <f t="shared" si="2"/>
        <v>10466.733712375337</v>
      </c>
      <c r="AD30" s="65">
        <f t="shared" si="2"/>
        <v>10593.180139289181</v>
      </c>
      <c r="AE30" s="65">
        <f t="shared" si="2"/>
        <v>10723.286085561291</v>
      </c>
      <c r="AF30" s="65">
        <f t="shared" si="2"/>
        <v>10857.158659303434</v>
      </c>
      <c r="AG30" s="65">
        <f t="shared" si="2"/>
        <v>10994.908128321347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8974.1666666666642</v>
      </c>
      <c r="D32" s="124">
        <f t="shared" si="3"/>
        <v>15627.680000000002</v>
      </c>
      <c r="E32" s="124">
        <f t="shared" si="3"/>
        <v>15584.170399999999</v>
      </c>
      <c r="F32" s="124">
        <f t="shared" si="3"/>
        <v>15539.437111999994</v>
      </c>
      <c r="G32" s="124">
        <f t="shared" si="3"/>
        <v>15493.445057360001</v>
      </c>
      <c r="H32" s="124">
        <f t="shared" si="3"/>
        <v>15446.1581377208</v>
      </c>
      <c r="I32" s="124">
        <f t="shared" si="3"/>
        <v>15397.539205065224</v>
      </c>
      <c r="J32" s="124">
        <f t="shared" si="3"/>
        <v>15347.550030894236</v>
      </c>
      <c r="K32" s="124">
        <f t="shared" si="3"/>
        <v>15296.151274491662</v>
      </c>
      <c r="L32" s="124">
        <f t="shared" si="3"/>
        <v>15243.302450250416</v>
      </c>
      <c r="M32" s="124">
        <f t="shared" si="3"/>
        <v>15188.96189403242</v>
      </c>
      <c r="N32" s="124">
        <f t="shared" si="3"/>
        <v>15133.086728533372</v>
      </c>
      <c r="O32" s="124">
        <f t="shared" si="3"/>
        <v>15075.632827622952</v>
      </c>
      <c r="P32" s="124">
        <f t="shared" si="3"/>
        <v>15016.554779629889</v>
      </c>
      <c r="Q32" s="124">
        <f t="shared" si="3"/>
        <v>14955.805849540606</v>
      </c>
      <c r="R32" s="124">
        <f t="shared" si="3"/>
        <v>14893.337940079073</v>
      </c>
      <c r="S32" s="124">
        <f t="shared" si="3"/>
        <v>14829.101551634742</v>
      </c>
      <c r="T32" s="124">
        <f t="shared" si="3"/>
        <v>14763.045741004144</v>
      </c>
      <c r="U32" s="124">
        <f t="shared" si="3"/>
        <v>14695.118078911039</v>
      </c>
      <c r="V32" s="124">
        <f t="shared" si="3"/>
        <v>14625.264606268673</v>
      </c>
      <c r="W32" s="124">
        <f t="shared" si="3"/>
        <v>4279.8055494658402</v>
      </c>
      <c r="X32" s="124">
        <f t="shared" si="3"/>
        <v>-2734.4435275948344</v>
      </c>
      <c r="Y32" s="124">
        <f t="shared" ref="Y32:AG32" si="4">Y13-Y30</f>
        <v>-2810.4141680470893</v>
      </c>
      <c r="Z32" s="124">
        <f t="shared" si="4"/>
        <v>-2888.5426744053948</v>
      </c>
      <c r="AA32" s="124">
        <f t="shared" si="4"/>
        <v>-2968.8913575807937</v>
      </c>
      <c r="AB32" s="124">
        <f t="shared" si="4"/>
        <v>-3051.5243493103162</v>
      </c>
      <c r="AC32" s="124">
        <f t="shared" si="4"/>
        <v>-3136.507655811768</v>
      </c>
      <c r="AD32" s="124">
        <f t="shared" si="4"/>
        <v>-3223.9092130287054</v>
      </c>
      <c r="AE32" s="124">
        <f t="shared" si="4"/>
        <v>-3313.7989435130003</v>
      </c>
      <c r="AF32" s="124">
        <f t="shared" si="4"/>
        <v>-3406.2488149936944</v>
      </c>
      <c r="AG32" s="124">
        <f t="shared" si="4"/>
        <v>-3501.332900682316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2081.9714725132194</v>
      </c>
      <c r="D34" s="65">
        <f>Depreciation!E48</f>
        <v>3569.0939528798049</v>
      </c>
      <c r="E34" s="65">
        <f>Depreciation!F48</f>
        <v>3569.0939528798049</v>
      </c>
      <c r="F34" s="65">
        <f>Depreciation!G48</f>
        <v>3569.0939528798049</v>
      </c>
      <c r="G34" s="65">
        <f>Depreciation!H48</f>
        <v>3569.0939528798049</v>
      </c>
      <c r="H34" s="65">
        <f>Depreciation!I48</f>
        <v>3175.6939528798048</v>
      </c>
      <c r="I34" s="65">
        <f>Depreciation!J48</f>
        <v>2894.6939528798048</v>
      </c>
      <c r="J34" s="65">
        <f>Depreciation!K48</f>
        <v>2894.6939528798048</v>
      </c>
      <c r="K34" s="65">
        <f>Depreciation!L48</f>
        <v>2894.6939528798048</v>
      </c>
      <c r="L34" s="65">
        <f>Depreciation!M48</f>
        <v>2894.6939528798048</v>
      </c>
      <c r="M34" s="65">
        <f>Depreciation!N48</f>
        <v>2894.6939528798048</v>
      </c>
      <c r="N34" s="65">
        <f>Depreciation!O48</f>
        <v>2894.6939528798048</v>
      </c>
      <c r="O34" s="65">
        <f>Depreciation!P48</f>
        <v>2894.6939528798048</v>
      </c>
      <c r="P34" s="65">
        <f>Depreciation!Q48</f>
        <v>2894.6939528798048</v>
      </c>
      <c r="Q34" s="65">
        <f>Depreciation!R48</f>
        <v>2894.6939528798048</v>
      </c>
      <c r="R34" s="65">
        <f>Depreciation!S48</f>
        <v>2894.6939528798048</v>
      </c>
      <c r="S34" s="65">
        <f>Depreciation!T48</f>
        <v>2894.6939528798048</v>
      </c>
      <c r="T34" s="65">
        <f>Depreciation!U48</f>
        <v>2894.6939528798048</v>
      </c>
      <c r="U34" s="65">
        <f>Depreciation!V48</f>
        <v>2894.6939528798048</v>
      </c>
      <c r="V34" s="65">
        <f>Depreciation!W48</f>
        <v>2894.6939528798048</v>
      </c>
      <c r="W34" s="65">
        <f>Depreciation!X48</f>
        <v>2894.6939528798048</v>
      </c>
      <c r="X34" s="65">
        <f>Depreciation!Y48</f>
        <v>2894.6939528798048</v>
      </c>
      <c r="Y34" s="65">
        <f>Depreciation!Z48</f>
        <v>2894.6939528798048</v>
      </c>
      <c r="Z34" s="65">
        <f>Depreciation!AA48</f>
        <v>2894.6939528798048</v>
      </c>
      <c r="AA34" s="65">
        <f>Depreciation!AB48</f>
        <v>2894.6939528798048</v>
      </c>
      <c r="AB34" s="65">
        <f>Depreciation!AC48</f>
        <v>2894.6939528798048</v>
      </c>
      <c r="AC34" s="65">
        <f>Depreciation!AD48</f>
        <v>2894.6939528798048</v>
      </c>
      <c r="AD34" s="65">
        <f>Depreciation!AE48</f>
        <v>2894.6939528798048</v>
      </c>
      <c r="AE34" s="65">
        <f>Depreciation!AF48</f>
        <v>2894.6939528798048</v>
      </c>
      <c r="AF34" s="65">
        <f>Depreciation!AG48</f>
        <v>2894.6939528798048</v>
      </c>
      <c r="AG34" s="65">
        <f>Depreciation!AH48</f>
        <v>1206.122480366585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6892.1951941534444</v>
      </c>
      <c r="D36" s="124">
        <f t="shared" ref="D36:X36" si="5">D32-D34</f>
        <v>12058.586047120198</v>
      </c>
      <c r="E36" s="124">
        <f t="shared" si="5"/>
        <v>12015.076447120195</v>
      </c>
      <c r="F36" s="124">
        <f t="shared" si="5"/>
        <v>11970.34315912019</v>
      </c>
      <c r="G36" s="124">
        <f t="shared" si="5"/>
        <v>11924.351104480196</v>
      </c>
      <c r="H36" s="124">
        <f t="shared" si="5"/>
        <v>12270.464184840996</v>
      </c>
      <c r="I36" s="124">
        <f t="shared" si="5"/>
        <v>12502.84525218542</v>
      </c>
      <c r="J36" s="124">
        <f t="shared" si="5"/>
        <v>12452.856078014431</v>
      </c>
      <c r="K36" s="124">
        <f t="shared" si="5"/>
        <v>12401.457321611857</v>
      </c>
      <c r="L36" s="124">
        <f t="shared" si="5"/>
        <v>12348.608497370611</v>
      </c>
      <c r="M36" s="124">
        <f t="shared" si="5"/>
        <v>12294.267941152615</v>
      </c>
      <c r="N36" s="124">
        <f t="shared" si="5"/>
        <v>12238.392775653567</v>
      </c>
      <c r="O36" s="124">
        <f t="shared" si="5"/>
        <v>12180.938874743148</v>
      </c>
      <c r="P36" s="124">
        <f t="shared" si="5"/>
        <v>12121.860826750084</v>
      </c>
      <c r="Q36" s="124">
        <f t="shared" si="5"/>
        <v>12061.111896660801</v>
      </c>
      <c r="R36" s="124">
        <f t="shared" si="5"/>
        <v>11998.643987199268</v>
      </c>
      <c r="S36" s="124">
        <f t="shared" si="5"/>
        <v>11934.407598754937</v>
      </c>
      <c r="T36" s="124">
        <f t="shared" si="5"/>
        <v>11868.351788124339</v>
      </c>
      <c r="U36" s="124">
        <f t="shared" si="5"/>
        <v>11800.424126031234</v>
      </c>
      <c r="V36" s="124">
        <f t="shared" si="5"/>
        <v>11730.570653388868</v>
      </c>
      <c r="W36" s="124">
        <f t="shared" si="5"/>
        <v>1385.1115965860354</v>
      </c>
      <c r="X36" s="124">
        <f t="shared" si="5"/>
        <v>-5629.1374804746392</v>
      </c>
      <c r="Y36" s="124">
        <f t="shared" ref="Y36:AG36" si="6">Y32-Y34</f>
        <v>-5705.1081209268941</v>
      </c>
      <c r="Z36" s="124">
        <f t="shared" si="6"/>
        <v>-5783.2366272851996</v>
      </c>
      <c r="AA36" s="124">
        <f t="shared" si="6"/>
        <v>-5863.5853104605985</v>
      </c>
      <c r="AB36" s="124">
        <f t="shared" si="6"/>
        <v>-5946.218302190121</v>
      </c>
      <c r="AC36" s="124">
        <f t="shared" si="6"/>
        <v>-6031.2016086915728</v>
      </c>
      <c r="AD36" s="124">
        <f t="shared" si="6"/>
        <v>-6118.6031659085102</v>
      </c>
      <c r="AE36" s="124">
        <f t="shared" si="6"/>
        <v>-6208.4928963928051</v>
      </c>
      <c r="AF36" s="124">
        <f t="shared" si="6"/>
        <v>-6300.9427678734992</v>
      </c>
      <c r="AG36" s="124">
        <f t="shared" si="6"/>
        <v>-4707.4553810489015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IF(Assumptions!$C$12=0,0,Debt!B57)</f>
        <v>0</v>
      </c>
      <c r="D38" s="65">
        <f>IF(Assumptions!$C$12=0,0,Debt!C57)</f>
        <v>0</v>
      </c>
      <c r="E38" s="65">
        <f>IF(Assumptions!$C$12=0,0,Debt!D57)</f>
        <v>0</v>
      </c>
      <c r="F38" s="65">
        <f>IF(Assumptions!$C$12=0,0,Debt!E57)</f>
        <v>0</v>
      </c>
      <c r="G38" s="65">
        <f>IF(Assumptions!$C$12=0,0,Debt!F57)</f>
        <v>0</v>
      </c>
      <c r="H38" s="65">
        <f>IF(Assumptions!$C$12=0,0,Debt!G57)</f>
        <v>0</v>
      </c>
      <c r="I38" s="65">
        <f>IF(Assumptions!$C$12=0,0,Debt!H57)</f>
        <v>0</v>
      </c>
      <c r="J38" s="65">
        <f>IF(Assumptions!$C$12=0,0,Debt!I57)</f>
        <v>0</v>
      </c>
      <c r="K38" s="65">
        <f>IF(Assumptions!$C$12=0,0,Debt!J57)</f>
        <v>0</v>
      </c>
      <c r="L38" s="65">
        <f>IF(Assumptions!$C$12=0,0,Debt!K57)</f>
        <v>0</v>
      </c>
      <c r="M38" s="65">
        <f>IF(Assumptions!$C$12=0,0,Debt!L57)</f>
        <v>0</v>
      </c>
      <c r="N38" s="65">
        <f>IF(Assumptions!$C$12=0,0,Debt!M57)</f>
        <v>0</v>
      </c>
      <c r="O38" s="65">
        <f>IF(Assumptions!$C$12=0,0,Debt!N57)</f>
        <v>0</v>
      </c>
      <c r="P38" s="65">
        <f>IF(Assumptions!$C$12=0,0,Debt!O57)</f>
        <v>0</v>
      </c>
      <c r="Q38" s="65">
        <f>IF(Assumptions!$C$12=0,0,Debt!P57)</f>
        <v>0</v>
      </c>
      <c r="R38" s="65">
        <f>IF(Assumptions!$C$12=0,0,Debt!Q57)</f>
        <v>0</v>
      </c>
      <c r="S38" s="65">
        <f>IF(Assumptions!$C$12=0,0,Debt!R57)</f>
        <v>0</v>
      </c>
      <c r="T38" s="65">
        <f>IF(Assumptions!$C$12=0,0,Debt!S57)</f>
        <v>0</v>
      </c>
      <c r="U38" s="65">
        <f>IF(Assumptions!$C$12=0,0,Debt!T57)</f>
        <v>0</v>
      </c>
      <c r="V38" s="65">
        <f>IF(Assumptions!$C$12=0,0,Debt!U57)</f>
        <v>0</v>
      </c>
      <c r="W38" s="65">
        <f>IF(Assumptions!$C$12=0,0,Debt!V57)</f>
        <v>0</v>
      </c>
      <c r="X38" s="65">
        <f>IF(Assumptions!$C$12=0,0,Debt!W57)</f>
        <v>0</v>
      </c>
      <c r="Y38" s="65">
        <f>IF(Assumptions!$C$12=0,0,Debt!X57)</f>
        <v>0</v>
      </c>
      <c r="Z38" s="65">
        <f>IF(Assumptions!$C$12=0,0,Debt!Y57)</f>
        <v>0</v>
      </c>
      <c r="AA38" s="65">
        <f>IF(Assumptions!$C$12=0,0,Debt!Z57)</f>
        <v>0</v>
      </c>
      <c r="AB38" s="65">
        <f>IF(Assumptions!$C$12=0,0,Debt!AA57)</f>
        <v>0</v>
      </c>
      <c r="AC38" s="65">
        <f>IF(Assumptions!$C$12=0,0,Debt!AB57)</f>
        <v>0</v>
      </c>
      <c r="AD38" s="65">
        <f>IF(Assumptions!$C$12=0,0,Debt!AC57)</f>
        <v>0</v>
      </c>
      <c r="AE38" s="65">
        <f>IF(Assumptions!$C$12=0,0,Debt!AD57)</f>
        <v>0</v>
      </c>
      <c r="AF38" s="65">
        <f>IF(Assumptions!$C$12=0,0,Debt!AE57)</f>
        <v>0</v>
      </c>
      <c r="AG38" s="65">
        <f>IF(Assumptions!$C$12=0,0,Debt!AF57)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6892.1951941534444</v>
      </c>
      <c r="D40" s="124">
        <f t="shared" ref="D40:X40" si="7">D36-D38</f>
        <v>12058.586047120198</v>
      </c>
      <c r="E40" s="124">
        <f t="shared" si="7"/>
        <v>12015.076447120195</v>
      </c>
      <c r="F40" s="124">
        <f t="shared" si="7"/>
        <v>11970.34315912019</v>
      </c>
      <c r="G40" s="124">
        <f t="shared" si="7"/>
        <v>11924.351104480196</v>
      </c>
      <c r="H40" s="124">
        <f t="shared" si="7"/>
        <v>12270.464184840996</v>
      </c>
      <c r="I40" s="124">
        <f t="shared" si="7"/>
        <v>12502.84525218542</v>
      </c>
      <c r="J40" s="124">
        <f t="shared" si="7"/>
        <v>12452.856078014431</v>
      </c>
      <c r="K40" s="124">
        <f t="shared" si="7"/>
        <v>12401.457321611857</v>
      </c>
      <c r="L40" s="124">
        <f t="shared" si="7"/>
        <v>12348.608497370611</v>
      </c>
      <c r="M40" s="124">
        <f t="shared" si="7"/>
        <v>12294.267941152615</v>
      </c>
      <c r="N40" s="124">
        <f t="shared" si="7"/>
        <v>12238.392775653567</v>
      </c>
      <c r="O40" s="124">
        <f t="shared" si="7"/>
        <v>12180.938874743148</v>
      </c>
      <c r="P40" s="124">
        <f t="shared" si="7"/>
        <v>12121.860826750084</v>
      </c>
      <c r="Q40" s="124">
        <f t="shared" si="7"/>
        <v>12061.111896660801</v>
      </c>
      <c r="R40" s="124">
        <f t="shared" si="7"/>
        <v>11998.643987199268</v>
      </c>
      <c r="S40" s="124">
        <f t="shared" si="7"/>
        <v>11934.407598754937</v>
      </c>
      <c r="T40" s="124">
        <f t="shared" si="7"/>
        <v>11868.351788124339</v>
      </c>
      <c r="U40" s="124">
        <f t="shared" si="7"/>
        <v>11800.424126031234</v>
      </c>
      <c r="V40" s="124">
        <f t="shared" si="7"/>
        <v>11730.570653388868</v>
      </c>
      <c r="W40" s="124">
        <f t="shared" si="7"/>
        <v>1385.1115965860354</v>
      </c>
      <c r="X40" s="124">
        <f t="shared" si="7"/>
        <v>-5629.1374804746392</v>
      </c>
      <c r="Y40" s="124">
        <f t="shared" ref="Y40:AG40" si="8">Y36-Y38</f>
        <v>-5705.1081209268941</v>
      </c>
      <c r="Z40" s="124">
        <f t="shared" si="8"/>
        <v>-5783.2366272851996</v>
      </c>
      <c r="AA40" s="124">
        <f t="shared" si="8"/>
        <v>-5863.5853104605985</v>
      </c>
      <c r="AB40" s="124">
        <f t="shared" si="8"/>
        <v>-5946.218302190121</v>
      </c>
      <c r="AC40" s="124">
        <f t="shared" si="8"/>
        <v>-6031.2016086915728</v>
      </c>
      <c r="AD40" s="124">
        <f t="shared" si="8"/>
        <v>-6118.6031659085102</v>
      </c>
      <c r="AE40" s="124">
        <f t="shared" si="8"/>
        <v>-6208.4928963928051</v>
      </c>
      <c r="AF40" s="124">
        <f t="shared" si="8"/>
        <v>-6300.9427678734992</v>
      </c>
      <c r="AG40" s="124">
        <f t="shared" si="8"/>
        <v>-4707.4553810489015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-482.45366359074114</v>
      </c>
      <c r="D42" s="74">
        <f t="shared" ref="D42:AG42" si="9">-D40*$B$42</f>
        <v>-844.10102329841391</v>
      </c>
      <c r="E42" s="74">
        <f t="shared" si="9"/>
        <v>-841.05535129841371</v>
      </c>
      <c r="F42" s="74">
        <f t="shared" si="9"/>
        <v>-837.92402113841331</v>
      </c>
      <c r="G42" s="74">
        <f t="shared" si="9"/>
        <v>-834.70457731361387</v>
      </c>
      <c r="H42" s="74">
        <f t="shared" si="9"/>
        <v>-858.93249293886981</v>
      </c>
      <c r="I42" s="74">
        <f t="shared" si="9"/>
        <v>-875.19916765297944</v>
      </c>
      <c r="J42" s="74">
        <f t="shared" si="9"/>
        <v>-871.69992546101025</v>
      </c>
      <c r="K42" s="74">
        <f t="shared" si="9"/>
        <v>-868.10201251283002</v>
      </c>
      <c r="L42" s="74">
        <f t="shared" si="9"/>
        <v>-864.40259481594285</v>
      </c>
      <c r="M42" s="74">
        <f t="shared" si="9"/>
        <v>-860.59875588068314</v>
      </c>
      <c r="N42" s="74">
        <f t="shared" si="9"/>
        <v>-856.68749429574973</v>
      </c>
      <c r="O42" s="74">
        <f t="shared" si="9"/>
        <v>-852.66572123202036</v>
      </c>
      <c r="P42" s="74">
        <f t="shared" si="9"/>
        <v>-848.53025787250601</v>
      </c>
      <c r="Q42" s="74">
        <f t="shared" si="9"/>
        <v>-844.2778327662561</v>
      </c>
      <c r="R42" s="74">
        <f t="shared" si="9"/>
        <v>-839.90507910394888</v>
      </c>
      <c r="S42" s="74">
        <f t="shared" si="9"/>
        <v>-835.40853191284566</v>
      </c>
      <c r="T42" s="74">
        <f t="shared" si="9"/>
        <v>-830.78462516870377</v>
      </c>
      <c r="U42" s="74">
        <f t="shared" si="9"/>
        <v>-826.02968882218647</v>
      </c>
      <c r="V42" s="74">
        <f t="shared" si="9"/>
        <v>-821.13994573722084</v>
      </c>
      <c r="W42" s="74">
        <f t="shared" si="9"/>
        <v>-96.957811761022484</v>
      </c>
      <c r="X42" s="74">
        <f t="shared" si="9"/>
        <v>394.03962363322478</v>
      </c>
      <c r="Y42" s="74">
        <f t="shared" si="9"/>
        <v>399.3575684648826</v>
      </c>
      <c r="Z42" s="74">
        <f t="shared" si="9"/>
        <v>404.82656390996402</v>
      </c>
      <c r="AA42" s="74">
        <f t="shared" si="9"/>
        <v>410.45097173224195</v>
      </c>
      <c r="AB42" s="74">
        <f t="shared" si="9"/>
        <v>416.23528115330851</v>
      </c>
      <c r="AC42" s="74">
        <f t="shared" si="9"/>
        <v>422.18411260841015</v>
      </c>
      <c r="AD42" s="74">
        <f t="shared" si="9"/>
        <v>428.30222161359575</v>
      </c>
      <c r="AE42" s="74">
        <f t="shared" si="9"/>
        <v>434.59450274749639</v>
      </c>
      <c r="AF42" s="74">
        <f t="shared" si="9"/>
        <v>441.06599375114496</v>
      </c>
      <c r="AG42" s="74">
        <f t="shared" si="9"/>
        <v>329.52187667342315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-2243.409535696946</v>
      </c>
      <c r="D43" s="74">
        <f t="shared" si="10"/>
        <v>-3925.0697583376241</v>
      </c>
      <c r="E43" s="74">
        <f t="shared" si="10"/>
        <v>-3910.907383537623</v>
      </c>
      <c r="F43" s="74">
        <f t="shared" si="10"/>
        <v>-3896.3466982936216</v>
      </c>
      <c r="G43" s="74">
        <f t="shared" si="10"/>
        <v>-3881.3762845083033</v>
      </c>
      <c r="H43" s="74">
        <f t="shared" si="10"/>
        <v>-3994.0360921657439</v>
      </c>
      <c r="I43" s="74">
        <f t="shared" si="10"/>
        <v>-4069.6761295863539</v>
      </c>
      <c r="J43" s="74">
        <f t="shared" si="10"/>
        <v>-4053.4046533936967</v>
      </c>
      <c r="K43" s="74">
        <f t="shared" si="10"/>
        <v>-4036.674358184659</v>
      </c>
      <c r="L43" s="74">
        <f t="shared" si="10"/>
        <v>-4019.4720658941333</v>
      </c>
      <c r="M43" s="74">
        <f t="shared" si="10"/>
        <v>-4001.7842148451759</v>
      </c>
      <c r="N43" s="74">
        <f t="shared" si="10"/>
        <v>-3983.5968484752357</v>
      </c>
      <c r="O43" s="74">
        <f t="shared" si="10"/>
        <v>-3964.895603728894</v>
      </c>
      <c r="P43" s="74">
        <f t="shared" si="10"/>
        <v>-3945.6656991071522</v>
      </c>
      <c r="Q43" s="74">
        <f t="shared" si="10"/>
        <v>-3925.8919223630905</v>
      </c>
      <c r="R43" s="74">
        <f t="shared" si="10"/>
        <v>-3905.5586178333615</v>
      </c>
      <c r="S43" s="74">
        <f t="shared" si="10"/>
        <v>-3884.6496733947315</v>
      </c>
      <c r="T43" s="74">
        <f t="shared" si="10"/>
        <v>-3863.148507034472</v>
      </c>
      <c r="U43" s="74">
        <f t="shared" si="10"/>
        <v>-3841.0380530231664</v>
      </c>
      <c r="V43" s="74">
        <f t="shared" si="10"/>
        <v>-3818.3007476780763</v>
      </c>
      <c r="W43" s="74">
        <f t="shared" si="10"/>
        <v>-450.85382468875451</v>
      </c>
      <c r="X43" s="74">
        <f t="shared" si="10"/>
        <v>1832.2842498944951</v>
      </c>
      <c r="Y43" s="74">
        <f t="shared" si="10"/>
        <v>1857.0126933617041</v>
      </c>
      <c r="Z43" s="74">
        <f t="shared" si="10"/>
        <v>1882.4435221813324</v>
      </c>
      <c r="AA43" s="74">
        <f t="shared" si="10"/>
        <v>1908.5970185549247</v>
      </c>
      <c r="AB43" s="74">
        <f t="shared" si="10"/>
        <v>1935.4940573628844</v>
      </c>
      <c r="AC43" s="74">
        <f t="shared" si="10"/>
        <v>1963.1561236291068</v>
      </c>
      <c r="AD43" s="74">
        <f t="shared" si="10"/>
        <v>1991.6053305032199</v>
      </c>
      <c r="AE43" s="74">
        <f t="shared" si="10"/>
        <v>2020.8644377758578</v>
      </c>
      <c r="AF43" s="74">
        <f t="shared" si="10"/>
        <v>2050.956870942824</v>
      </c>
      <c r="AG43" s="74">
        <f t="shared" si="10"/>
        <v>1532.2767265314174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4166.3319948657572</v>
      </c>
      <c r="D45" s="375">
        <f t="shared" si="11"/>
        <v>7289.41526548416</v>
      </c>
      <c r="E45" s="375">
        <f t="shared" si="11"/>
        <v>7263.1137122841583</v>
      </c>
      <c r="F45" s="375">
        <f t="shared" si="11"/>
        <v>7236.0724396881551</v>
      </c>
      <c r="G45" s="375">
        <f t="shared" si="11"/>
        <v>7208.2702426582782</v>
      </c>
      <c r="H45" s="375">
        <f t="shared" si="11"/>
        <v>7417.4955997363822</v>
      </c>
      <c r="I45" s="375">
        <f t="shared" si="11"/>
        <v>7557.9699549460856</v>
      </c>
      <c r="J45" s="375">
        <f t="shared" si="11"/>
        <v>7527.7514991597236</v>
      </c>
      <c r="K45" s="375">
        <f t="shared" si="11"/>
        <v>7496.6809509143677</v>
      </c>
      <c r="L45" s="375">
        <f t="shared" si="11"/>
        <v>7464.7338366605345</v>
      </c>
      <c r="M45" s="375">
        <f t="shared" si="11"/>
        <v>7431.8849704267559</v>
      </c>
      <c r="N45" s="375">
        <f t="shared" si="11"/>
        <v>7398.1084328825818</v>
      </c>
      <c r="O45" s="375">
        <f t="shared" si="11"/>
        <v>7363.3775497822335</v>
      </c>
      <c r="P45" s="375">
        <f t="shared" si="11"/>
        <v>7327.6648697704259</v>
      </c>
      <c r="Q45" s="375">
        <f t="shared" si="11"/>
        <v>7290.9421415314537</v>
      </c>
      <c r="R45" s="375">
        <f t="shared" si="11"/>
        <v>7253.1802902619584</v>
      </c>
      <c r="S45" s="375">
        <f t="shared" si="11"/>
        <v>7214.349393447359</v>
      </c>
      <c r="T45" s="375">
        <f t="shared" si="11"/>
        <v>7174.418655921163</v>
      </c>
      <c r="U45" s="375">
        <f t="shared" si="11"/>
        <v>7133.3563841858813</v>
      </c>
      <c r="V45" s="375">
        <f t="shared" si="11"/>
        <v>7091.1299599735703</v>
      </c>
      <c r="W45" s="375">
        <f t="shared" si="11"/>
        <v>837.29996013625851</v>
      </c>
      <c r="X45" s="375">
        <f t="shared" si="11"/>
        <v>-3402.8136069469197</v>
      </c>
      <c r="Y45" s="375">
        <f t="shared" si="11"/>
        <v>-3448.737859100308</v>
      </c>
      <c r="Z45" s="375">
        <f t="shared" si="11"/>
        <v>-3495.9665411939036</v>
      </c>
      <c r="AA45" s="375">
        <f t="shared" si="11"/>
        <v>-3544.5373201734319</v>
      </c>
      <c r="AB45" s="375">
        <f t="shared" si="11"/>
        <v>-3594.4889636739281</v>
      </c>
      <c r="AC45" s="375">
        <f t="shared" si="11"/>
        <v>-3645.861372454056</v>
      </c>
      <c r="AD45" s="375">
        <f t="shared" si="11"/>
        <v>-3698.6956137916941</v>
      </c>
      <c r="AE45" s="375">
        <f t="shared" si="11"/>
        <v>-3753.0339558694509</v>
      </c>
      <c r="AF45" s="375">
        <f t="shared" si="11"/>
        <v>-3808.9199031795306</v>
      </c>
      <c r="AG45" s="375">
        <f t="shared" si="11"/>
        <v>-2845.6567778440608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99861.798429326824</v>
      </c>
      <c r="D18" s="18">
        <f>Depreciation!$B$48</f>
        <v>99861.798429326824</v>
      </c>
      <c r="E18" s="18">
        <f>Depreciation!$B$48</f>
        <v>99861.798429326824</v>
      </c>
      <c r="F18" s="18">
        <f>Depreciation!$B$48</f>
        <v>99861.798429326824</v>
      </c>
      <c r="G18" s="18">
        <f>Depreciation!$B$48</f>
        <v>99861.798429326824</v>
      </c>
      <c r="H18" s="18">
        <f>Depreciation!$B$48</f>
        <v>99861.798429326824</v>
      </c>
      <c r="I18" s="18">
        <f>Depreciation!$B$48</f>
        <v>99861.798429326824</v>
      </c>
      <c r="J18" s="18">
        <f>Depreciation!$B$48</f>
        <v>99861.798429326824</v>
      </c>
      <c r="K18" s="18">
        <f>Depreciation!$B$48</f>
        <v>99861.798429326824</v>
      </c>
      <c r="L18" s="18">
        <f>Depreciation!$B$48</f>
        <v>99861.798429326824</v>
      </c>
      <c r="M18" s="18">
        <f>Depreciation!$B$48</f>
        <v>99861.798429326824</v>
      </c>
      <c r="N18" s="18">
        <f>Depreciation!$B$48</f>
        <v>99861.798429326824</v>
      </c>
      <c r="O18" s="18">
        <f>Depreciation!$B$48</f>
        <v>99861.798429326824</v>
      </c>
      <c r="P18" s="18">
        <f>Depreciation!$B$48</f>
        <v>99861.798429326824</v>
      </c>
      <c r="Q18" s="18">
        <f>Depreciation!$B$48</f>
        <v>99861.798429326824</v>
      </c>
      <c r="R18" s="18">
        <f>Depreciation!$B$48</f>
        <v>99861.798429326824</v>
      </c>
      <c r="S18" s="18">
        <f>Depreciation!$B$48</f>
        <v>99861.798429326824</v>
      </c>
      <c r="T18" s="18">
        <f>Depreciation!$B$48</f>
        <v>99861.798429326824</v>
      </c>
      <c r="U18" s="18">
        <f>Depreciation!$B$48</f>
        <v>99861.798429326824</v>
      </c>
      <c r="V18" s="18">
        <f>Depreciation!$B$48</f>
        <v>99861.798429326824</v>
      </c>
      <c r="W18" s="18">
        <f>Depreciation!$B$48</f>
        <v>99861.798429326824</v>
      </c>
      <c r="X18" s="18">
        <f>Depreciation!$B$48</f>
        <v>99861.798429326824</v>
      </c>
      <c r="Y18" s="18">
        <f>Depreciation!$B$48</f>
        <v>99861.798429326824</v>
      </c>
      <c r="Z18" s="18">
        <f>Depreciation!$B$48</f>
        <v>99861.798429326824</v>
      </c>
      <c r="AA18" s="18">
        <f>Depreciation!$B$48</f>
        <v>99861.798429326824</v>
      </c>
      <c r="AB18" s="18">
        <f>Depreciation!$B$48</f>
        <v>99861.798429326824</v>
      </c>
      <c r="AC18" s="18">
        <f>Depreciation!$B$48</f>
        <v>99861.798429326824</v>
      </c>
      <c r="AD18" s="18">
        <f>Depreciation!$B$48</f>
        <v>99861.798429326824</v>
      </c>
      <c r="AE18" s="18">
        <f>Depreciation!$B$48</f>
        <v>99861.798429326824</v>
      </c>
      <c r="AF18" s="18">
        <f>Depreciation!$B$48</f>
        <v>99861.798429326824</v>
      </c>
      <c r="AG18" s="18">
        <f>Depreciation!$B$48</f>
        <v>99861.798429326824</v>
      </c>
      <c r="AH18" s="18">
        <f>Depreciation!$B$48</f>
        <v>99861.798429326824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2081.9714725132194</v>
      </c>
      <c r="E19" s="314">
        <f>SUM(Depreciation!$D$48:E48)</f>
        <v>5651.0654253930243</v>
      </c>
      <c r="F19" s="314">
        <f>SUM(Depreciation!$D$48:F48)</f>
        <v>9220.1593782728287</v>
      </c>
      <c r="G19" s="314">
        <f>SUM(Depreciation!$D$48:G48)</f>
        <v>12789.253331152633</v>
      </c>
      <c r="H19" s="314">
        <f>SUM(Depreciation!$D$48:H48)</f>
        <v>16358.347284032438</v>
      </c>
      <c r="I19" s="314">
        <f>SUM(Depreciation!$D$48:I48)</f>
        <v>19534.041236912242</v>
      </c>
      <c r="J19" s="314">
        <f>SUM(Depreciation!$D$48:J48)</f>
        <v>22428.735189792045</v>
      </c>
      <c r="K19" s="314">
        <f>SUM(Depreciation!$D$48:K48)</f>
        <v>25323.429142671848</v>
      </c>
      <c r="L19" s="314">
        <f>SUM(Depreciation!$D$48:L48)</f>
        <v>28218.123095551651</v>
      </c>
      <c r="M19" s="314">
        <f>SUM(Depreciation!$D$48:M48)</f>
        <v>31112.817048431454</v>
      </c>
      <c r="N19" s="314">
        <f>SUM(Depreciation!$D$48:N48)</f>
        <v>34007.511001311257</v>
      </c>
      <c r="O19" s="314">
        <f>SUM(Depreciation!$D$48:O48)</f>
        <v>36902.20495419106</v>
      </c>
      <c r="P19" s="314">
        <f>SUM(Depreciation!$D$48:P48)</f>
        <v>39796.898907070863</v>
      </c>
      <c r="Q19" s="314">
        <f>SUM(Depreciation!$D$48:Q48)</f>
        <v>42691.592859950666</v>
      </c>
      <c r="R19" s="314">
        <f>SUM(Depreciation!$D$48:R48)</f>
        <v>45586.286812830469</v>
      </c>
      <c r="S19" s="314">
        <f>SUM(Depreciation!$D$48:S48)</f>
        <v>48480.980765710272</v>
      </c>
      <c r="T19" s="314">
        <f>SUM(Depreciation!$D$48:T48)</f>
        <v>51375.674718590075</v>
      </c>
      <c r="U19" s="314">
        <f>SUM(Depreciation!$D$48:U48)</f>
        <v>54270.368671469878</v>
      </c>
      <c r="V19" s="314">
        <f>SUM(Depreciation!$D$48:V48)</f>
        <v>57165.062624349681</v>
      </c>
      <c r="W19" s="314">
        <f>SUM(Depreciation!$D$48:W48)</f>
        <v>60059.756577229484</v>
      </c>
      <c r="X19" s="314">
        <f>SUM(Depreciation!$D$48:X48)</f>
        <v>62954.450530109287</v>
      </c>
      <c r="Y19" s="314">
        <f>SUM(Depreciation!$D$48:Y48)</f>
        <v>65849.144482989097</v>
      </c>
      <c r="Z19" s="314">
        <f>SUM(Depreciation!$D$48:Z48)</f>
        <v>68743.838435868907</v>
      </c>
      <c r="AA19" s="314">
        <f>SUM(Depreciation!$D$48:AA48)</f>
        <v>71638.532388748717</v>
      </c>
      <c r="AB19" s="314">
        <f>SUM(Depreciation!$D$48:AB48)</f>
        <v>74533.226341628528</v>
      </c>
      <c r="AC19" s="314">
        <f>SUM(Depreciation!$D$48:AC48)</f>
        <v>77427.920294508338</v>
      </c>
      <c r="AD19" s="314">
        <f>SUM(Depreciation!$D$48:AD48)</f>
        <v>80322.614247388148</v>
      </c>
      <c r="AE19" s="314">
        <f>SUM(Depreciation!$D$48:AE48)</f>
        <v>83217.308200267958</v>
      </c>
      <c r="AF19" s="314">
        <f>SUM(Depreciation!$D$48:AF48)</f>
        <v>86112.002153147769</v>
      </c>
      <c r="AG19" s="314">
        <f>SUM(Depreciation!$D$48:AG48)</f>
        <v>89006.696106027579</v>
      </c>
      <c r="AH19" s="314">
        <f>SUM(Depreciation!$D$48:AH48)</f>
        <v>90212.818586394162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99861.798429326824</v>
      </c>
      <c r="D20" s="23">
        <f>D18-D19</f>
        <v>97779.826956813602</v>
      </c>
      <c r="E20" s="23">
        <f t="shared" ref="E20:AH20" si="2">E18-E19</f>
        <v>94210.733003933798</v>
      </c>
      <c r="F20" s="23">
        <f t="shared" si="2"/>
        <v>90641.639051053993</v>
      </c>
      <c r="G20" s="23">
        <f t="shared" si="2"/>
        <v>87072.545098174189</v>
      </c>
      <c r="H20" s="23">
        <f t="shared" si="2"/>
        <v>83503.451145294384</v>
      </c>
      <c r="I20" s="23">
        <f t="shared" si="2"/>
        <v>80327.757192414574</v>
      </c>
      <c r="J20" s="23">
        <f t="shared" si="2"/>
        <v>77433.063239534778</v>
      </c>
      <c r="K20" s="23">
        <f t="shared" si="2"/>
        <v>74538.369286654983</v>
      </c>
      <c r="L20" s="23">
        <f t="shared" si="2"/>
        <v>71643.675333775172</v>
      </c>
      <c r="M20" s="23">
        <f t="shared" si="2"/>
        <v>68748.981380895362</v>
      </c>
      <c r="N20" s="23">
        <f t="shared" si="2"/>
        <v>65854.287428015567</v>
      </c>
      <c r="O20" s="23">
        <f t="shared" si="2"/>
        <v>62959.593475135764</v>
      </c>
      <c r="P20" s="23">
        <f t="shared" si="2"/>
        <v>60064.899522255961</v>
      </c>
      <c r="Q20" s="23">
        <f t="shared" si="2"/>
        <v>57170.205569376158</v>
      </c>
      <c r="R20" s="23">
        <f t="shared" si="2"/>
        <v>54275.511616496355</v>
      </c>
      <c r="S20" s="23">
        <f t="shared" si="2"/>
        <v>51380.817663616552</v>
      </c>
      <c r="T20" s="23">
        <f t="shared" si="2"/>
        <v>48486.123710736749</v>
      </c>
      <c r="U20" s="23">
        <f t="shared" si="2"/>
        <v>45591.429757856946</v>
      </c>
      <c r="V20" s="23">
        <f t="shared" si="2"/>
        <v>42696.735804977143</v>
      </c>
      <c r="W20" s="23">
        <f t="shared" si="2"/>
        <v>39802.04185209734</v>
      </c>
      <c r="X20" s="23">
        <f t="shared" si="2"/>
        <v>36907.347899217537</v>
      </c>
      <c r="Y20" s="23">
        <f t="shared" si="2"/>
        <v>34012.653946337727</v>
      </c>
      <c r="Z20" s="23">
        <f t="shared" si="2"/>
        <v>31117.959993457916</v>
      </c>
      <c r="AA20" s="23">
        <f t="shared" si="2"/>
        <v>28223.266040578106</v>
      </c>
      <c r="AB20" s="23">
        <f t="shared" si="2"/>
        <v>25328.572087698296</v>
      </c>
      <c r="AC20" s="23">
        <f t="shared" si="2"/>
        <v>22433.878134818486</v>
      </c>
      <c r="AD20" s="23">
        <f t="shared" si="2"/>
        <v>19539.184181938675</v>
      </c>
      <c r="AE20" s="23">
        <f t="shared" si="2"/>
        <v>16644.490229058865</v>
      </c>
      <c r="AF20" s="23">
        <f t="shared" si="2"/>
        <v>13749.796276179055</v>
      </c>
      <c r="AG20" s="23">
        <f t="shared" si="2"/>
        <v>10855.102323299245</v>
      </c>
      <c r="AH20" s="23">
        <f t="shared" si="2"/>
        <v>9648.979842932662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99861.798429326824</v>
      </c>
      <c r="D25" s="23">
        <f>SUM(D16,D20,D22,D23)</f>
        <v>97779.826956813602</v>
      </c>
      <c r="E25" s="23">
        <f t="shared" ref="E25:AH25" si="3">SUM(E16,E20,E22,E23)</f>
        <v>94210.733003933798</v>
      </c>
      <c r="F25" s="23">
        <f t="shared" si="3"/>
        <v>90641.639051053993</v>
      </c>
      <c r="G25" s="23">
        <f t="shared" si="3"/>
        <v>87072.545098174189</v>
      </c>
      <c r="H25" s="23">
        <f t="shared" si="3"/>
        <v>83503.451145294384</v>
      </c>
      <c r="I25" s="23">
        <f t="shared" si="3"/>
        <v>80327.757192414574</v>
      </c>
      <c r="J25" s="23">
        <f t="shared" si="3"/>
        <v>77433.063239534778</v>
      </c>
      <c r="K25" s="23">
        <f t="shared" si="3"/>
        <v>74538.369286654983</v>
      </c>
      <c r="L25" s="23">
        <f t="shared" si="3"/>
        <v>71643.675333775172</v>
      </c>
      <c r="M25" s="23">
        <f t="shared" si="3"/>
        <v>68748.981380895362</v>
      </c>
      <c r="N25" s="23">
        <f t="shared" si="3"/>
        <v>65854.287428015567</v>
      </c>
      <c r="O25" s="23">
        <f t="shared" si="3"/>
        <v>62959.593475135764</v>
      </c>
      <c r="P25" s="23">
        <f t="shared" si="3"/>
        <v>60064.899522255961</v>
      </c>
      <c r="Q25" s="23">
        <f t="shared" si="3"/>
        <v>57170.205569376158</v>
      </c>
      <c r="R25" s="23">
        <f t="shared" si="3"/>
        <v>54275.511616496355</v>
      </c>
      <c r="S25" s="23">
        <f t="shared" si="3"/>
        <v>51380.817663616552</v>
      </c>
      <c r="T25" s="23">
        <f t="shared" si="3"/>
        <v>48486.123710736749</v>
      </c>
      <c r="U25" s="23">
        <f t="shared" si="3"/>
        <v>45591.429757856946</v>
      </c>
      <c r="V25" s="23">
        <f t="shared" si="3"/>
        <v>42696.735804977143</v>
      </c>
      <c r="W25" s="23">
        <f t="shared" si="3"/>
        <v>39802.04185209734</v>
      </c>
      <c r="X25" s="23">
        <f t="shared" si="3"/>
        <v>36907.347899217537</v>
      </c>
      <c r="Y25" s="23">
        <f t="shared" si="3"/>
        <v>34012.653946337727</v>
      </c>
      <c r="Z25" s="23">
        <f t="shared" si="3"/>
        <v>31117.959993457916</v>
      </c>
      <c r="AA25" s="23">
        <f t="shared" si="3"/>
        <v>28223.266040578106</v>
      </c>
      <c r="AB25" s="23">
        <f t="shared" si="3"/>
        <v>25328.572087698296</v>
      </c>
      <c r="AC25" s="23">
        <f t="shared" si="3"/>
        <v>22433.878134818486</v>
      </c>
      <c r="AD25" s="23">
        <f t="shared" si="3"/>
        <v>19539.184181938675</v>
      </c>
      <c r="AE25" s="23">
        <f t="shared" si="3"/>
        <v>16644.490229058865</v>
      </c>
      <c r="AF25" s="23">
        <f t="shared" si="3"/>
        <v>13749.796276179055</v>
      </c>
      <c r="AG25" s="23">
        <f t="shared" si="3"/>
        <v>10855.102323299245</v>
      </c>
      <c r="AH25" s="23">
        <f t="shared" si="3"/>
        <v>9648.979842932662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0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0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99861.798429326824</v>
      </c>
      <c r="D41" s="23">
        <f>Assumptions!$C$11</f>
        <v>99861.798429326824</v>
      </c>
      <c r="E41" s="23">
        <f>Assumptions!$C$11</f>
        <v>99861.798429326824</v>
      </c>
      <c r="F41" s="23">
        <f>Assumptions!$C$11</f>
        <v>99861.798429326824</v>
      </c>
      <c r="G41" s="23">
        <f>Assumptions!$C$11</f>
        <v>99861.798429326824</v>
      </c>
      <c r="H41" s="23">
        <f>Assumptions!$C$11</f>
        <v>99861.798429326824</v>
      </c>
      <c r="I41" s="23">
        <f>Assumptions!$C$11</f>
        <v>99861.798429326824</v>
      </c>
      <c r="J41" s="23">
        <f>Assumptions!$C$11</f>
        <v>99861.798429326824</v>
      </c>
      <c r="K41" s="23">
        <f>Assumptions!$C$11</f>
        <v>99861.798429326824</v>
      </c>
      <c r="L41" s="23">
        <f>Assumptions!$C$11</f>
        <v>99861.798429326824</v>
      </c>
      <c r="M41" s="23">
        <f>Assumptions!$C$11</f>
        <v>99861.798429326824</v>
      </c>
      <c r="N41" s="23">
        <f>Assumptions!$C$11</f>
        <v>99861.798429326824</v>
      </c>
      <c r="O41" s="23">
        <f>Assumptions!$C$11</f>
        <v>99861.798429326824</v>
      </c>
      <c r="P41" s="23">
        <f>Assumptions!$C$11</f>
        <v>99861.798429326824</v>
      </c>
      <c r="Q41" s="23">
        <f>Assumptions!$C$11</f>
        <v>99861.798429326824</v>
      </c>
      <c r="R41" s="23">
        <f>Assumptions!$C$11</f>
        <v>99861.798429326824</v>
      </c>
      <c r="S41" s="23">
        <f>Assumptions!$C$11</f>
        <v>99861.798429326824</v>
      </c>
      <c r="T41" s="23">
        <f>Assumptions!$C$11</f>
        <v>99861.798429326824</v>
      </c>
      <c r="U41" s="23">
        <f>Assumptions!$C$11</f>
        <v>99861.798429326824</v>
      </c>
      <c r="V41" s="23">
        <f>Assumptions!$C$11</f>
        <v>99861.798429326824</v>
      </c>
      <c r="W41" s="23">
        <f>Assumptions!$C$11</f>
        <v>99861.798429326824</v>
      </c>
      <c r="X41" s="23">
        <f>Assumptions!$C$11</f>
        <v>99861.798429326824</v>
      </c>
      <c r="Y41" s="23">
        <f>Assumptions!$C$11</f>
        <v>99861.798429326824</v>
      </c>
      <c r="Z41" s="23">
        <f>Assumptions!$C$11</f>
        <v>99861.798429326824</v>
      </c>
      <c r="AA41" s="23">
        <f>Assumptions!$C$11</f>
        <v>99861.798429326824</v>
      </c>
      <c r="AB41" s="23">
        <f>Assumptions!$C$11</f>
        <v>99861.798429326824</v>
      </c>
      <c r="AC41" s="23">
        <f>Assumptions!$C$11</f>
        <v>99861.798429326824</v>
      </c>
      <c r="AD41" s="23">
        <f>Assumptions!$C$11</f>
        <v>99861.798429326824</v>
      </c>
      <c r="AE41" s="23">
        <f>Assumptions!$C$11</f>
        <v>99861.798429326824</v>
      </c>
      <c r="AF41" s="23">
        <f>Assumptions!$C$11</f>
        <v>99861.798429326824</v>
      </c>
      <c r="AG41" s="23">
        <f>Assumptions!$C$11</f>
        <v>99861.798429326824</v>
      </c>
      <c r="AH41" s="23">
        <f>Assumptions!$C$11</f>
        <v>99861.798429326824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L15" sqref="L15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388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8974.1666666666642</v>
      </c>
      <c r="D11" s="18">
        <f>IS!D32</f>
        <v>15627.680000000002</v>
      </c>
      <c r="E11" s="18">
        <f>IS!E32</f>
        <v>15584.170399999999</v>
      </c>
      <c r="F11" s="18">
        <f>IS!F32</f>
        <v>15539.437111999994</v>
      </c>
      <c r="G11" s="18">
        <f>IS!G32</f>
        <v>15493.445057360001</v>
      </c>
      <c r="H11" s="18">
        <f>IS!H32</f>
        <v>15446.1581377208</v>
      </c>
      <c r="I11" s="18">
        <f>IS!I32</f>
        <v>15397.539205065224</v>
      </c>
      <c r="J11" s="18">
        <f>IS!J32</f>
        <v>15347.550030894236</v>
      </c>
      <c r="K11" s="18">
        <f>IS!K32</f>
        <v>15296.151274491662</v>
      </c>
      <c r="L11" s="18">
        <f>IS!L32</f>
        <v>15243.302450250416</v>
      </c>
      <c r="M11" s="18">
        <f>IS!M32</f>
        <v>15188.96189403242</v>
      </c>
      <c r="N11" s="18">
        <f>IS!N32</f>
        <v>15133.086728533372</v>
      </c>
      <c r="O11" s="18">
        <f>IS!O32</f>
        <v>15075.632827622952</v>
      </c>
      <c r="P11" s="18">
        <f>IS!P32</f>
        <v>15016.554779629889</v>
      </c>
      <c r="Q11" s="18">
        <f>IS!Q32</f>
        <v>14955.805849540606</v>
      </c>
      <c r="R11" s="18">
        <f>IS!R32</f>
        <v>14893.337940079073</v>
      </c>
      <c r="S11" s="18">
        <f>IS!S32</f>
        <v>14829.101551634742</v>
      </c>
      <c r="T11" s="18">
        <f>IS!T32</f>
        <v>14763.045741004144</v>
      </c>
      <c r="U11" s="18">
        <f>IS!U32</f>
        <v>14695.118078911039</v>
      </c>
      <c r="V11" s="18">
        <f>IS!V32</f>
        <v>14625.264606268673</v>
      </c>
      <c r="W11" s="18">
        <f>IS!W32</f>
        <v>4279.8055494658402</v>
      </c>
      <c r="X11" s="18">
        <f>IS!X32</f>
        <v>-2734.4435275948344</v>
      </c>
      <c r="Y11" s="18">
        <f>IS!Y32</f>
        <v>-2810.4141680470893</v>
      </c>
      <c r="Z11" s="18">
        <f>IS!Z32</f>
        <v>-2888.5426744053948</v>
      </c>
      <c r="AA11" s="18">
        <f>IS!AA32</f>
        <v>-2968.8913575807937</v>
      </c>
      <c r="AB11" s="18">
        <f>IS!AB32</f>
        <v>-3051.5243493103162</v>
      </c>
      <c r="AC11" s="18">
        <f>IS!AC32</f>
        <v>-3136.507655811768</v>
      </c>
      <c r="AD11" s="18">
        <f>IS!AD32</f>
        <v>-3223.9092130287054</v>
      </c>
      <c r="AE11" s="18">
        <f>IS!AE32</f>
        <v>-3313.7989435130003</v>
      </c>
      <c r="AF11" s="18">
        <f>IS!AF32</f>
        <v>-3406.2488149936944</v>
      </c>
      <c r="AG11" s="18">
        <f>IS!AG32</f>
        <v>-3501.332900682316</v>
      </c>
    </row>
    <row r="12" spans="1:35">
      <c r="A12" s="45" t="s">
        <v>81</v>
      </c>
      <c r="B12" s="452">
        <v>0</v>
      </c>
      <c r="C12" s="452">
        <f>IF(Assumptions!C12=0,0,-(Debt!B36))</f>
        <v>0</v>
      </c>
      <c r="D12" s="452">
        <f>IF(Assumptions!$C$12=0,0,-(Debt!B44+Debt!C27+Debt!C36))</f>
        <v>0</v>
      </c>
      <c r="E12" s="452">
        <f>IF(Assumptions!$C$12=0,0,-(Debt!C44+Debt!D27+Debt!D36))</f>
        <v>0</v>
      </c>
      <c r="F12" s="452">
        <f>IF(Assumptions!$C$12=0,0,-(Debt!D44+Debt!E27+Debt!E36))</f>
        <v>0</v>
      </c>
      <c r="G12" s="452">
        <f>IF(Assumptions!$C$12=0,0,-(Debt!E44+Debt!F27+Debt!F36))</f>
        <v>0</v>
      </c>
      <c r="H12" s="452">
        <f>IF(Assumptions!$C$12=0,0,-(Debt!F44+Debt!G27+Debt!G36))</f>
        <v>0</v>
      </c>
      <c r="I12" s="452">
        <f>IF(Assumptions!$C$12=0,0,-(Debt!G44+Debt!H27+Debt!H36))</f>
        <v>0</v>
      </c>
      <c r="J12" s="452">
        <f>IF(Assumptions!$C$12=0,0,-(Debt!H44+Debt!I27+Debt!I36))</f>
        <v>0</v>
      </c>
      <c r="K12" s="452">
        <f>IF(Assumptions!$C$12=0,0,-(Debt!I44+Debt!J27+Debt!J36))</f>
        <v>0</v>
      </c>
      <c r="L12" s="452">
        <f>IF(Assumptions!$C$12=0,0,-(Debt!J44+Debt!K27+Debt!K36))</f>
        <v>0</v>
      </c>
      <c r="M12" s="452">
        <f>IF(Assumptions!$C$12=0,0,-(Debt!K44+Debt!L27+Debt!L36))</f>
        <v>0</v>
      </c>
      <c r="N12" s="452">
        <f>IF(Assumptions!$C$12=0,0,-(Debt!L44+Debt!M27+Debt!M36))</f>
        <v>0</v>
      </c>
      <c r="O12" s="452">
        <f>IF(Assumptions!$C$12=0,0,-(Debt!M44+Debt!N27+Debt!N36))</f>
        <v>0</v>
      </c>
      <c r="P12" s="452">
        <f>IF(Assumptions!$C$12=0,0,-(Debt!N44+Debt!O27+Debt!O36))</f>
        <v>0</v>
      </c>
      <c r="Q12" s="452">
        <f>IF(Assumptions!$C$12=0,0,-(Debt!O44+Debt!P27+Debt!P36))</f>
        <v>0</v>
      </c>
      <c r="R12" s="452">
        <f>IF(Assumptions!$C$12=0,0,-(Debt!P44+Debt!Q27+Debt!Q36))</f>
        <v>0</v>
      </c>
      <c r="S12" s="452">
        <f>IF(Assumptions!$C$12=0,0,-(Debt!Q44+Debt!R27+Debt!R36))</f>
        <v>0</v>
      </c>
      <c r="T12" s="452">
        <f>IF(Assumptions!$C$12=0,0,-(Debt!R44+Debt!S27+Debt!S36))</f>
        <v>0</v>
      </c>
      <c r="U12" s="452">
        <f>IF(Assumptions!$C$12=0,0,-(Debt!S44+Debt!T27+Debt!T36))</f>
        <v>0</v>
      </c>
      <c r="V12" s="452">
        <f>IF(Assumptions!$C$12=0,0,-(Debt!T44+Debt!U27+Debt!U36))</f>
        <v>0</v>
      </c>
      <c r="W12" s="452">
        <f>IF(Assumptions!$C$12=0,0,-(Debt!U44+Debt!V27+Debt!V36))</f>
        <v>0</v>
      </c>
      <c r="X12" s="452">
        <f>IF(Assumptions!$C$12=0,0,-(Debt!V44+Debt!W27+Debt!W36))</f>
        <v>0</v>
      </c>
      <c r="Y12" s="452">
        <f>IF(Assumptions!$C$12=0,0,-(Debt!W44+Debt!X27+Debt!X36))</f>
        <v>0</v>
      </c>
      <c r="Z12" s="452">
        <f>IF(Assumptions!$C$12=0,0,-(Debt!X44+Debt!Y27+Debt!Y36))</f>
        <v>0</v>
      </c>
      <c r="AA12" s="452">
        <f>IF(Assumptions!$C$12=0,0,-(Debt!Y44+Debt!Z27+Debt!Z36))</f>
        <v>0</v>
      </c>
      <c r="AB12" s="452">
        <f>IF(Assumptions!$C$12=0,0,-(Debt!Z44+Debt!AA27+Debt!AA36))</f>
        <v>0</v>
      </c>
      <c r="AC12" s="452">
        <f>IF(Assumptions!$C$12=0,0,-(Debt!AA44+Debt!AB27+Debt!AB36))</f>
        <v>0</v>
      </c>
      <c r="AD12" s="452">
        <f>IF(Assumptions!$C$12=0,0,-(Debt!AB44+Debt!AC27+Debt!AC36))</f>
        <v>0</v>
      </c>
      <c r="AE12" s="452">
        <f>IF(Assumptions!$C$12=0,0,-(Debt!AC44+Debt!AD27+Debt!AD36))</f>
        <v>0</v>
      </c>
      <c r="AF12" s="452">
        <f>IF(Assumptions!$C$12=0,0,-(Debt!AD44+Debt!AE27+Debt!AE36))</f>
        <v>0</v>
      </c>
      <c r="AG12" s="452">
        <f>IF(Assumptions!$C$12=0,0,-(Debt!AE44+Debt!AF27+Debt!AF36))</f>
        <v>0</v>
      </c>
      <c r="AH12" s="13"/>
      <c r="AI12" s="13"/>
    </row>
    <row r="13" spans="1:35">
      <c r="A13" s="45" t="s">
        <v>359</v>
      </c>
      <c r="B13" s="64">
        <f>SUM(B11:B12)</f>
        <v>0</v>
      </c>
      <c r="C13" s="64">
        <f t="shared" ref="C13:AG13" si="0">SUM(C11:C12)</f>
        <v>8974.1666666666642</v>
      </c>
      <c r="D13" s="64">
        <f t="shared" si="0"/>
        <v>15627.680000000002</v>
      </c>
      <c r="E13" s="64">
        <f t="shared" si="0"/>
        <v>15584.170399999999</v>
      </c>
      <c r="F13" s="64">
        <f t="shared" si="0"/>
        <v>15539.437111999994</v>
      </c>
      <c r="G13" s="64">
        <f t="shared" si="0"/>
        <v>15493.445057360001</v>
      </c>
      <c r="H13" s="64">
        <f t="shared" si="0"/>
        <v>15446.1581377208</v>
      </c>
      <c r="I13" s="64">
        <f t="shared" si="0"/>
        <v>15397.539205065224</v>
      </c>
      <c r="J13" s="64">
        <f t="shared" si="0"/>
        <v>15347.550030894236</v>
      </c>
      <c r="K13" s="64">
        <f t="shared" si="0"/>
        <v>15296.151274491662</v>
      </c>
      <c r="L13" s="64">
        <f t="shared" si="0"/>
        <v>15243.302450250416</v>
      </c>
      <c r="M13" s="64">
        <f t="shared" si="0"/>
        <v>15188.96189403242</v>
      </c>
      <c r="N13" s="64">
        <f t="shared" si="0"/>
        <v>15133.086728533372</v>
      </c>
      <c r="O13" s="64">
        <f t="shared" si="0"/>
        <v>15075.632827622952</v>
      </c>
      <c r="P13" s="64">
        <f t="shared" si="0"/>
        <v>15016.554779629889</v>
      </c>
      <c r="Q13" s="64">
        <f t="shared" si="0"/>
        <v>14955.805849540606</v>
      </c>
      <c r="R13" s="64">
        <f t="shared" si="0"/>
        <v>14893.337940079073</v>
      </c>
      <c r="S13" s="64">
        <f t="shared" si="0"/>
        <v>14829.101551634742</v>
      </c>
      <c r="T13" s="64">
        <f t="shared" si="0"/>
        <v>14763.045741004144</v>
      </c>
      <c r="U13" s="64">
        <f t="shared" si="0"/>
        <v>14695.118078911039</v>
      </c>
      <c r="V13" s="64">
        <f t="shared" si="0"/>
        <v>14625.264606268673</v>
      </c>
      <c r="W13" s="64">
        <f t="shared" si="0"/>
        <v>4279.8055494658402</v>
      </c>
      <c r="X13" s="64">
        <f t="shared" si="0"/>
        <v>-2734.4435275948344</v>
      </c>
      <c r="Y13" s="64">
        <f t="shared" si="0"/>
        <v>-2810.4141680470893</v>
      </c>
      <c r="Z13" s="64">
        <f t="shared" si="0"/>
        <v>-2888.5426744053948</v>
      </c>
      <c r="AA13" s="64">
        <f t="shared" si="0"/>
        <v>-2968.8913575807937</v>
      </c>
      <c r="AB13" s="64">
        <f t="shared" si="0"/>
        <v>-3051.5243493103162</v>
      </c>
      <c r="AC13" s="64">
        <f t="shared" si="0"/>
        <v>-3136.507655811768</v>
      </c>
      <c r="AD13" s="64">
        <f t="shared" si="0"/>
        <v>-3223.9092130287054</v>
      </c>
      <c r="AE13" s="64">
        <f t="shared" si="0"/>
        <v>-3313.7989435130003</v>
      </c>
      <c r="AF13" s="64">
        <f t="shared" si="0"/>
        <v>-3406.2488149936944</v>
      </c>
      <c r="AG13" s="64">
        <f t="shared" si="0"/>
        <v>-3501.332900682316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360</v>
      </c>
      <c r="B15" s="18">
        <v>0</v>
      </c>
      <c r="C15" s="18">
        <f>-Taxes!B24-Taxes!B41</f>
        <v>-1485.6074527267278</v>
      </c>
      <c r="D15" s="18">
        <f>-Taxes!C24-Taxes!C41</f>
        <v>-2288.659288514119</v>
      </c>
      <c r="E15" s="18">
        <f>-Taxes!D24-Taxes!D41</f>
        <v>-2633.9875368627054</v>
      </c>
      <c r="F15" s="18">
        <f>-Taxes!E24-Taxes!E41</f>
        <v>-2940.6701013284933</v>
      </c>
      <c r="G15" s="18">
        <f>-Taxes!F24-Taxes!F41</f>
        <v>-3216.3254513651264</v>
      </c>
      <c r="H15" s="18">
        <f>-Taxes!G24-Taxes!G41</f>
        <v>-3620.3451815994131</v>
      </c>
      <c r="I15" s="18">
        <f>-Taxes!H24-Taxes!H41</f>
        <v>-3838.185554154169</v>
      </c>
      <c r="J15" s="18">
        <f>-Taxes!I24-Taxes!I41</f>
        <v>-3814.5986642416642</v>
      </c>
      <c r="K15" s="18">
        <f>-Taxes!J24-Taxes!J41</f>
        <v>-3798.0866276123256</v>
      </c>
      <c r="L15" s="18">
        <f>-Taxes!K24-Taxes!K41</f>
        <v>-3773.3687460970332</v>
      </c>
      <c r="M15" s="18">
        <f>-Taxes!L24-Taxes!L41</f>
        <v>-3755.6932276406951</v>
      </c>
      <c r="N15" s="18">
        <f>-Taxes!M24-Taxes!M41</f>
        <v>-3729.7784281579416</v>
      </c>
      <c r="O15" s="18">
        <f>-Taxes!N24-Taxes!N41</f>
        <v>-3710.8715818757505</v>
      </c>
      <c r="P15" s="18">
        <f>-Taxes!O24-Taxes!O41</f>
        <v>-3683.6900423666148</v>
      </c>
      <c r="Q15" s="18">
        <f>-Taxes!P24-Taxes!P41</f>
        <v>-3663.4800120441823</v>
      </c>
      <c r="R15" s="18">
        <f>-Taxes!Q24-Taxes!Q41</f>
        <v>-4764.5445545767097</v>
      </c>
      <c r="S15" s="18">
        <f>-Taxes!R24-Taxes!R41</f>
        <v>-5864.9096636715403</v>
      </c>
      <c r="T15" s="18">
        <f>-Taxes!S24-Taxes!S41</f>
        <v>-5838.7845905671393</v>
      </c>
      <c r="U15" s="18">
        <f>-Taxes!T24-Taxes!T41</f>
        <v>-5811.919200209315</v>
      </c>
      <c r="V15" s="18">
        <f>-Taxes!U24-Taxes!U41</f>
        <v>-5784.2921517792593</v>
      </c>
      <c r="W15" s="18">
        <f>-Taxes!V24-Taxes!V41</f>
        <v>-1692.6630948137399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IF(Assumptions!$C$12=0,0,-Debt!B48)</f>
        <v>0</v>
      </c>
      <c r="D16" s="23">
        <f>IF(Assumptions!$C$12=0,0,-Debt!C48)</f>
        <v>0</v>
      </c>
      <c r="E16" s="23">
        <f>IF(Assumptions!$C$12=0,0,-Debt!D48)</f>
        <v>0</v>
      </c>
      <c r="F16" s="23">
        <f>IF(Assumptions!$C$12=0,0,-Debt!E48)</f>
        <v>0</v>
      </c>
      <c r="G16" s="23">
        <f>IF(Assumptions!$C$12=0,0,-Debt!F48)</f>
        <v>0</v>
      </c>
      <c r="H16" s="23">
        <f>IF(Assumptions!$C$12=0,0,-Debt!G48)</f>
        <v>0</v>
      </c>
      <c r="I16" s="23">
        <f>IF(Assumptions!$C$12=0,0,-Debt!H48)</f>
        <v>0</v>
      </c>
      <c r="J16" s="23">
        <f>IF(Assumptions!$C$12=0,0,-Debt!I48)</f>
        <v>0</v>
      </c>
      <c r="K16" s="23">
        <f>IF(Assumptions!$C$12=0,0,-Debt!J48)</f>
        <v>0</v>
      </c>
      <c r="L16" s="23">
        <f>IF(Assumptions!$C$12=0,0,-Debt!K48)</f>
        <v>0</v>
      </c>
      <c r="M16" s="23">
        <f>IF(Assumptions!$C$12=0,0,-Debt!L48)</f>
        <v>0</v>
      </c>
      <c r="N16" s="23">
        <f>IF(Assumptions!$C$12=0,0,-Debt!M48)</f>
        <v>0</v>
      </c>
      <c r="O16" s="23">
        <f>IF(Assumptions!$C$12=0,0,-Debt!N48)</f>
        <v>0</v>
      </c>
      <c r="P16" s="23">
        <f>IF(Assumptions!$C$12=0,0,-Debt!O48)</f>
        <v>0</v>
      </c>
      <c r="Q16" s="23">
        <f>IF(Assumptions!$C$12=0,0,-Debt!P48)</f>
        <v>0</v>
      </c>
      <c r="R16" s="23">
        <f>IF(Assumptions!$C$12=0,0,-Debt!Q48)</f>
        <v>0</v>
      </c>
      <c r="S16" s="23">
        <f>IF(Assumptions!$C$12=0,0,-Debt!R48)</f>
        <v>0</v>
      </c>
      <c r="T16" s="23">
        <f>IF(Assumptions!$C$12=0,0,-Debt!S48)</f>
        <v>0</v>
      </c>
      <c r="U16" s="23">
        <f>IF(Assumptions!$C$12=0,0,-Debt!T48)</f>
        <v>0</v>
      </c>
      <c r="V16" s="23">
        <f>IF(Assumptions!$C$12=0,0,-Debt!U48)</f>
        <v>0</v>
      </c>
      <c r="W16" s="23">
        <f>IF(Assumptions!$C$12=0,0,-Debt!V48)</f>
        <v>0</v>
      </c>
      <c r="X16" s="23">
        <f>IF(Assumptions!$C$12=0,0,-Debt!W48)</f>
        <v>0</v>
      </c>
      <c r="Y16" s="23">
        <f>IF(Assumptions!$C$12=0,0,-Debt!X48)</f>
        <v>0</v>
      </c>
      <c r="Z16" s="23">
        <f>IF(Assumptions!$C$12=0,0,-Debt!Y48)</f>
        <v>0</v>
      </c>
      <c r="AA16" s="23">
        <f>IF(Assumptions!$C$12=0,0,-Debt!Z48)</f>
        <v>0</v>
      </c>
      <c r="AB16" s="23">
        <f>IF(Assumptions!$C$12=0,0,-Debt!AA48)</f>
        <v>0</v>
      </c>
      <c r="AC16" s="23">
        <f>IF(Assumptions!$C$12=0,0,-Debt!AB48)</f>
        <v>0</v>
      </c>
      <c r="AD16" s="23">
        <f>IF(Assumptions!$C$12=0,0,-Debt!AC48)</f>
        <v>0</v>
      </c>
      <c r="AE16" s="23">
        <f>IF(Assumptions!$C$12=0,0,-Debt!AD48)</f>
        <v>0</v>
      </c>
      <c r="AF16" s="23">
        <f>IF(Assumptions!$C$12=0,0,-Debt!AE48)</f>
        <v>0</v>
      </c>
      <c r="AG16" s="23">
        <f>IF(Assumptions!$C$12=0,0,-Debt!AF48)</f>
        <v>0</v>
      </c>
    </row>
    <row r="17" spans="1:33">
      <c r="A17" s="45" t="s">
        <v>361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362</v>
      </c>
      <c r="B18" s="64">
        <f>B13+B17+B16+B15</f>
        <v>0</v>
      </c>
      <c r="C18" s="64">
        <f t="shared" ref="C18:AG18" si="1">C13+C17+C16+C15</f>
        <v>7488.5592139399359</v>
      </c>
      <c r="D18" s="64">
        <f t="shared" si="1"/>
        <v>13339.020711485882</v>
      </c>
      <c r="E18" s="64">
        <f t="shared" si="1"/>
        <v>12950.182863137294</v>
      </c>
      <c r="F18" s="64">
        <f t="shared" si="1"/>
        <v>12598.767010671501</v>
      </c>
      <c r="G18" s="64">
        <f t="shared" si="1"/>
        <v>12277.119605994874</v>
      </c>
      <c r="H18" s="64">
        <f t="shared" si="1"/>
        <v>11825.812956121386</v>
      </c>
      <c r="I18" s="64">
        <f t="shared" si="1"/>
        <v>11559.353650911056</v>
      </c>
      <c r="J18" s="64">
        <f t="shared" si="1"/>
        <v>11532.951366652571</v>
      </c>
      <c r="K18" s="64">
        <f t="shared" si="1"/>
        <v>11498.064646879337</v>
      </c>
      <c r="L18" s="64">
        <f t="shared" si="1"/>
        <v>11469.933704153384</v>
      </c>
      <c r="M18" s="64">
        <f t="shared" si="1"/>
        <v>11433.268666391725</v>
      </c>
      <c r="N18" s="64">
        <f t="shared" si="1"/>
        <v>11403.308300375429</v>
      </c>
      <c r="O18" s="64">
        <f t="shared" si="1"/>
        <v>11364.761245747202</v>
      </c>
      <c r="P18" s="64">
        <f t="shared" si="1"/>
        <v>11332.864737263273</v>
      </c>
      <c r="Q18" s="64">
        <f t="shared" si="1"/>
        <v>11292.325837496424</v>
      </c>
      <c r="R18" s="64">
        <f t="shared" si="1"/>
        <v>10128.793385502362</v>
      </c>
      <c r="S18" s="64">
        <f t="shared" si="1"/>
        <v>8964.1918879632012</v>
      </c>
      <c r="T18" s="64">
        <f t="shared" si="1"/>
        <v>8924.2611504370034</v>
      </c>
      <c r="U18" s="64">
        <f t="shared" si="1"/>
        <v>8883.1988787017235</v>
      </c>
      <c r="V18" s="64">
        <f t="shared" si="1"/>
        <v>8840.9724544894125</v>
      </c>
      <c r="W18" s="64">
        <f t="shared" si="1"/>
        <v>2587.1424546521002</v>
      </c>
      <c r="X18" s="64">
        <f t="shared" si="1"/>
        <v>-2734.4435275948344</v>
      </c>
      <c r="Y18" s="64">
        <f t="shared" si="1"/>
        <v>-2810.4141680470893</v>
      </c>
      <c r="Z18" s="64">
        <f t="shared" si="1"/>
        <v>-2888.5426744053948</v>
      </c>
      <c r="AA18" s="64">
        <f t="shared" si="1"/>
        <v>-2968.8913575807937</v>
      </c>
      <c r="AB18" s="64">
        <f t="shared" si="1"/>
        <v>-3051.5243493103162</v>
      </c>
      <c r="AC18" s="64">
        <f t="shared" si="1"/>
        <v>-3136.507655811768</v>
      </c>
      <c r="AD18" s="64">
        <f t="shared" si="1"/>
        <v>-3223.9092130287054</v>
      </c>
      <c r="AE18" s="64">
        <f t="shared" si="1"/>
        <v>-3313.7989435130003</v>
      </c>
      <c r="AF18" s="64">
        <f t="shared" si="1"/>
        <v>-3406.2488149936944</v>
      </c>
      <c r="AG18" s="64">
        <f t="shared" si="1"/>
        <v>-3501.332900682316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413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7488.5592139399359</v>
      </c>
      <c r="D21" s="64">
        <f t="shared" si="2"/>
        <v>13339.020711485882</v>
      </c>
      <c r="E21" s="64">
        <f t="shared" si="2"/>
        <v>12950.182863137294</v>
      </c>
      <c r="F21" s="64">
        <f t="shared" si="2"/>
        <v>12598.767010671501</v>
      </c>
      <c r="G21" s="64">
        <f t="shared" si="2"/>
        <v>12277.119605994874</v>
      </c>
      <c r="H21" s="64">
        <f t="shared" si="2"/>
        <v>11825.812956121386</v>
      </c>
      <c r="I21" s="64">
        <f t="shared" si="2"/>
        <v>11559.353650911056</v>
      </c>
      <c r="J21" s="64">
        <f t="shared" si="2"/>
        <v>11532.951366652571</v>
      </c>
      <c r="K21" s="64">
        <f t="shared" si="2"/>
        <v>11498.064646879337</v>
      </c>
      <c r="L21" s="64">
        <f t="shared" si="2"/>
        <v>11469.933704153384</v>
      </c>
      <c r="M21" s="64">
        <f t="shared" si="2"/>
        <v>11433.268666391725</v>
      </c>
      <c r="N21" s="64">
        <f t="shared" si="2"/>
        <v>11403.308300375429</v>
      </c>
      <c r="O21" s="64">
        <f t="shared" si="2"/>
        <v>11364.761245747202</v>
      </c>
      <c r="P21" s="64">
        <f t="shared" si="2"/>
        <v>11332.864737263273</v>
      </c>
      <c r="Q21" s="64">
        <f t="shared" si="2"/>
        <v>11292.325837496424</v>
      </c>
      <c r="R21" s="64">
        <f t="shared" si="2"/>
        <v>10128.793385502362</v>
      </c>
      <c r="S21" s="64">
        <f t="shared" si="2"/>
        <v>8964.1918879632012</v>
      </c>
      <c r="T21" s="64">
        <f t="shared" si="2"/>
        <v>8924.2611504370034</v>
      </c>
      <c r="U21" s="64">
        <f t="shared" si="2"/>
        <v>8883.1988787017235</v>
      </c>
      <c r="V21" s="64">
        <f t="shared" si="2"/>
        <v>8840.9724544894125</v>
      </c>
      <c r="W21" s="64">
        <f t="shared" si="2"/>
        <v>2587.1424546521002</v>
      </c>
      <c r="X21" s="64">
        <f t="shared" si="2"/>
        <v>-2734.4435275948344</v>
      </c>
      <c r="Y21" s="64">
        <f t="shared" si="2"/>
        <v>-2810.4141680470893</v>
      </c>
      <c r="Z21" s="64">
        <f t="shared" si="2"/>
        <v>-2888.5426744053948</v>
      </c>
      <c r="AA21" s="64">
        <f t="shared" si="2"/>
        <v>-2968.8913575807937</v>
      </c>
      <c r="AB21" s="64">
        <f t="shared" si="2"/>
        <v>-3051.5243493103162</v>
      </c>
      <c r="AC21" s="64">
        <f t="shared" si="2"/>
        <v>-3136.507655811768</v>
      </c>
      <c r="AD21" s="64">
        <f t="shared" si="2"/>
        <v>-3223.9092130287054</v>
      </c>
      <c r="AE21" s="64">
        <f t="shared" si="2"/>
        <v>-3313.7989435130003</v>
      </c>
      <c r="AF21" s="64">
        <f t="shared" si="2"/>
        <v>-3406.2488149936944</v>
      </c>
      <c r="AG21" s="64">
        <f t="shared" si="2"/>
        <v>-3501.332900682316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369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-99861.798429326824</v>
      </c>
      <c r="C25" s="18">
        <f t="shared" ref="C25:V25" si="3">+B29</f>
        <v>-99861.798429326824</v>
      </c>
      <c r="D25" s="18">
        <f t="shared" si="3"/>
        <v>-99861.798429326824</v>
      </c>
      <c r="E25" s="18">
        <f t="shared" si="3"/>
        <v>-99861.798429326824</v>
      </c>
      <c r="F25" s="18">
        <f t="shared" si="3"/>
        <v>-99861.798429326824</v>
      </c>
      <c r="G25" s="18">
        <f t="shared" si="3"/>
        <v>-99861.798429326824</v>
      </c>
      <c r="H25" s="18">
        <f t="shared" si="3"/>
        <v>-99861.798429326824</v>
      </c>
      <c r="I25" s="18">
        <f t="shared" si="3"/>
        <v>-99861.798429326824</v>
      </c>
      <c r="J25" s="18">
        <f t="shared" si="3"/>
        <v>-99861.798429326824</v>
      </c>
      <c r="K25" s="18">
        <f t="shared" si="3"/>
        <v>-99861.798429326824</v>
      </c>
      <c r="L25" s="18">
        <f t="shared" si="3"/>
        <v>-99861.798429326824</v>
      </c>
      <c r="M25" s="18">
        <f t="shared" si="3"/>
        <v>-99861.798429326824</v>
      </c>
      <c r="N25" s="18">
        <f t="shared" si="3"/>
        <v>-99861.798429326824</v>
      </c>
      <c r="O25" s="18">
        <f t="shared" si="3"/>
        <v>-99861.798429326824</v>
      </c>
      <c r="P25" s="18">
        <f t="shared" si="3"/>
        <v>-99861.798429326824</v>
      </c>
      <c r="Q25" s="18">
        <f t="shared" si="3"/>
        <v>-99861.798429326824</v>
      </c>
      <c r="R25" s="18">
        <f t="shared" si="3"/>
        <v>-99861.798429326824</v>
      </c>
      <c r="S25" s="18">
        <f t="shared" si="3"/>
        <v>-99861.798429326824</v>
      </c>
      <c r="T25" s="18">
        <f t="shared" si="3"/>
        <v>-99861.798429326824</v>
      </c>
      <c r="U25" s="18">
        <f t="shared" si="3"/>
        <v>-99861.798429326824</v>
      </c>
      <c r="V25" s="18">
        <f t="shared" si="3"/>
        <v>-99861.798429326824</v>
      </c>
      <c r="W25" s="18">
        <f t="shared" ref="W25:AG25" si="4">+V29</f>
        <v>-99861.798429326824</v>
      </c>
      <c r="X25" s="18">
        <f t="shared" si="4"/>
        <v>-99861.798429326824</v>
      </c>
      <c r="Y25" s="18">
        <f t="shared" si="4"/>
        <v>-99861.798429326824</v>
      </c>
      <c r="Z25" s="18">
        <f t="shared" si="4"/>
        <v>-99861.798429326824</v>
      </c>
      <c r="AA25" s="18">
        <f t="shared" si="4"/>
        <v>-99861.798429326824</v>
      </c>
      <c r="AB25" s="18">
        <f t="shared" si="4"/>
        <v>-99861.798429326824</v>
      </c>
      <c r="AC25" s="18">
        <f t="shared" si="4"/>
        <v>-99861.798429326824</v>
      </c>
      <c r="AD25" s="18">
        <f t="shared" si="4"/>
        <v>-99861.798429326824</v>
      </c>
      <c r="AE25" s="18">
        <f t="shared" si="4"/>
        <v>-99861.798429326824</v>
      </c>
      <c r="AF25" s="18">
        <f t="shared" si="4"/>
        <v>-99861.798429326824</v>
      </c>
      <c r="AG25" s="18">
        <f t="shared" si="4"/>
        <v>-99861.798429326824</v>
      </c>
    </row>
    <row r="26" spans="1:33">
      <c r="A26" s="45" t="s">
        <v>368</v>
      </c>
      <c r="B26" s="18">
        <v>0</v>
      </c>
      <c r="C26" s="18">
        <f>+-B25*$B$24</f>
        <v>13980.651780105756</v>
      </c>
      <c r="D26" s="18">
        <f t="shared" ref="D26:V26" si="5">+-D25*$B$24</f>
        <v>13980.651780105756</v>
      </c>
      <c r="E26" s="18">
        <f t="shared" si="5"/>
        <v>13980.651780105756</v>
      </c>
      <c r="F26" s="18">
        <f t="shared" si="5"/>
        <v>13980.651780105756</v>
      </c>
      <c r="G26" s="18">
        <f t="shared" si="5"/>
        <v>13980.651780105756</v>
      </c>
      <c r="H26" s="18">
        <f t="shared" si="5"/>
        <v>13980.651780105756</v>
      </c>
      <c r="I26" s="18">
        <f t="shared" si="5"/>
        <v>13980.651780105756</v>
      </c>
      <c r="J26" s="18">
        <f t="shared" si="5"/>
        <v>13980.651780105756</v>
      </c>
      <c r="K26" s="18">
        <f t="shared" si="5"/>
        <v>13980.651780105756</v>
      </c>
      <c r="L26" s="18">
        <f t="shared" si="5"/>
        <v>13980.651780105756</v>
      </c>
      <c r="M26" s="18">
        <f t="shared" si="5"/>
        <v>13980.651780105756</v>
      </c>
      <c r="N26" s="18">
        <f t="shared" si="5"/>
        <v>13980.651780105756</v>
      </c>
      <c r="O26" s="18">
        <f t="shared" si="5"/>
        <v>13980.651780105756</v>
      </c>
      <c r="P26" s="18">
        <f t="shared" si="5"/>
        <v>13980.651780105756</v>
      </c>
      <c r="Q26" s="18">
        <f t="shared" si="5"/>
        <v>13980.651780105756</v>
      </c>
      <c r="R26" s="18">
        <f t="shared" si="5"/>
        <v>13980.651780105756</v>
      </c>
      <c r="S26" s="18">
        <f t="shared" si="5"/>
        <v>13980.651780105756</v>
      </c>
      <c r="T26" s="18">
        <f t="shared" si="5"/>
        <v>13980.651780105756</v>
      </c>
      <c r="U26" s="18">
        <f t="shared" si="5"/>
        <v>13980.651780105756</v>
      </c>
      <c r="V26" s="18">
        <f t="shared" si="5"/>
        <v>13980.651780105756</v>
      </c>
      <c r="W26" s="18">
        <f t="shared" ref="W26:AG26" si="6">+-W25*$B$24</f>
        <v>13980.651780105756</v>
      </c>
      <c r="X26" s="18">
        <f t="shared" si="6"/>
        <v>13980.651780105756</v>
      </c>
      <c r="Y26" s="18">
        <f t="shared" si="6"/>
        <v>13980.651780105756</v>
      </c>
      <c r="Z26" s="18">
        <f t="shared" si="6"/>
        <v>13980.651780105756</v>
      </c>
      <c r="AA26" s="18">
        <f t="shared" si="6"/>
        <v>13980.651780105756</v>
      </c>
      <c r="AB26" s="18">
        <f t="shared" si="6"/>
        <v>13980.651780105756</v>
      </c>
      <c r="AC26" s="18">
        <f t="shared" si="6"/>
        <v>13980.651780105756</v>
      </c>
      <c r="AD26" s="18">
        <f t="shared" si="6"/>
        <v>13980.651780105756</v>
      </c>
      <c r="AE26" s="18">
        <f t="shared" si="6"/>
        <v>13980.651780105756</v>
      </c>
      <c r="AF26" s="18">
        <f t="shared" si="6"/>
        <v>13980.651780105756</v>
      </c>
      <c r="AG26" s="18">
        <f t="shared" si="6"/>
        <v>13980.651780105756</v>
      </c>
    </row>
    <row r="27" spans="1:33">
      <c r="A27" s="45" t="s">
        <v>364</v>
      </c>
      <c r="B27" s="18">
        <f>B21</f>
        <v>0</v>
      </c>
      <c r="C27" s="18">
        <f t="shared" ref="C27:AG27" si="7">C21</f>
        <v>7488.5592139399359</v>
      </c>
      <c r="D27" s="18">
        <f t="shared" si="7"/>
        <v>13339.020711485882</v>
      </c>
      <c r="E27" s="18">
        <f t="shared" si="7"/>
        <v>12950.182863137294</v>
      </c>
      <c r="F27" s="18">
        <f t="shared" si="7"/>
        <v>12598.767010671501</v>
      </c>
      <c r="G27" s="18">
        <f t="shared" si="7"/>
        <v>12277.119605994874</v>
      </c>
      <c r="H27" s="18">
        <f t="shared" si="7"/>
        <v>11825.812956121386</v>
      </c>
      <c r="I27" s="18">
        <f t="shared" si="7"/>
        <v>11559.353650911056</v>
      </c>
      <c r="J27" s="18">
        <f t="shared" si="7"/>
        <v>11532.951366652571</v>
      </c>
      <c r="K27" s="18">
        <f t="shared" si="7"/>
        <v>11498.064646879337</v>
      </c>
      <c r="L27" s="18">
        <f t="shared" si="7"/>
        <v>11469.933704153384</v>
      </c>
      <c r="M27" s="18">
        <f t="shared" si="7"/>
        <v>11433.268666391725</v>
      </c>
      <c r="N27" s="18">
        <f t="shared" si="7"/>
        <v>11403.308300375429</v>
      </c>
      <c r="O27" s="18">
        <f t="shared" si="7"/>
        <v>11364.761245747202</v>
      </c>
      <c r="P27" s="18">
        <f t="shared" si="7"/>
        <v>11332.864737263273</v>
      </c>
      <c r="Q27" s="18">
        <f t="shared" si="7"/>
        <v>11292.325837496424</v>
      </c>
      <c r="R27" s="18">
        <f t="shared" si="7"/>
        <v>10128.793385502362</v>
      </c>
      <c r="S27" s="18">
        <f t="shared" si="7"/>
        <v>8964.1918879632012</v>
      </c>
      <c r="T27" s="18">
        <f t="shared" si="7"/>
        <v>8924.2611504370034</v>
      </c>
      <c r="U27" s="18">
        <f t="shared" si="7"/>
        <v>8883.1988787017235</v>
      </c>
      <c r="V27" s="18">
        <f t="shared" si="7"/>
        <v>8840.9724544894125</v>
      </c>
      <c r="W27" s="18">
        <f t="shared" si="7"/>
        <v>2587.1424546521002</v>
      </c>
      <c r="X27" s="18">
        <f t="shared" si="7"/>
        <v>-2734.4435275948344</v>
      </c>
      <c r="Y27" s="18">
        <f t="shared" si="7"/>
        <v>-2810.4141680470893</v>
      </c>
      <c r="Z27" s="18">
        <f t="shared" si="7"/>
        <v>-2888.5426744053948</v>
      </c>
      <c r="AA27" s="18">
        <f t="shared" si="7"/>
        <v>-2968.8913575807937</v>
      </c>
      <c r="AB27" s="18">
        <f t="shared" si="7"/>
        <v>-3051.5243493103162</v>
      </c>
      <c r="AC27" s="18">
        <f t="shared" si="7"/>
        <v>-3136.507655811768</v>
      </c>
      <c r="AD27" s="18">
        <f t="shared" si="7"/>
        <v>-3223.9092130287054</v>
      </c>
      <c r="AE27" s="18">
        <f t="shared" si="7"/>
        <v>-3313.7989435130003</v>
      </c>
      <c r="AF27" s="18">
        <f t="shared" si="7"/>
        <v>-3406.2488149936944</v>
      </c>
      <c r="AG27" s="18">
        <f t="shared" si="7"/>
        <v>-3501.332900682316</v>
      </c>
    </row>
    <row r="28" spans="1:33">
      <c r="A28" s="45" t="s">
        <v>367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0</v>
      </c>
      <c r="U28" s="315">
        <f t="shared" si="8"/>
        <v>0</v>
      </c>
      <c r="V28" s="315">
        <f t="shared" si="8"/>
        <v>0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-99861.798429326824</v>
      </c>
      <c r="C29" s="18">
        <f t="shared" si="10"/>
        <v>-99861.798429326824</v>
      </c>
      <c r="D29" s="18">
        <f t="shared" si="10"/>
        <v>-99861.798429326824</v>
      </c>
      <c r="E29" s="18">
        <f t="shared" si="10"/>
        <v>-99861.798429326824</v>
      </c>
      <c r="F29" s="18">
        <f t="shared" si="10"/>
        <v>-99861.798429326824</v>
      </c>
      <c r="G29" s="18">
        <f t="shared" si="10"/>
        <v>-99861.798429326824</v>
      </c>
      <c r="H29" s="18">
        <f t="shared" si="10"/>
        <v>-99861.798429326824</v>
      </c>
      <c r="I29" s="18">
        <f t="shared" si="10"/>
        <v>-99861.798429326824</v>
      </c>
      <c r="J29" s="18">
        <f t="shared" si="10"/>
        <v>-99861.798429326824</v>
      </c>
      <c r="K29" s="18">
        <f t="shared" si="10"/>
        <v>-99861.798429326824</v>
      </c>
      <c r="L29" s="18">
        <f t="shared" si="10"/>
        <v>-99861.798429326824</v>
      </c>
      <c r="M29" s="18">
        <f t="shared" si="10"/>
        <v>-99861.798429326824</v>
      </c>
      <c r="N29" s="18">
        <f t="shared" si="10"/>
        <v>-99861.798429326824</v>
      </c>
      <c r="O29" s="18">
        <f t="shared" si="10"/>
        <v>-99861.798429326824</v>
      </c>
      <c r="P29" s="18">
        <f t="shared" si="10"/>
        <v>-99861.798429326824</v>
      </c>
      <c r="Q29" s="18">
        <f t="shared" si="10"/>
        <v>-99861.798429326824</v>
      </c>
      <c r="R29" s="18">
        <f t="shared" si="10"/>
        <v>-99861.798429326824</v>
      </c>
      <c r="S29" s="18">
        <f t="shared" si="10"/>
        <v>-99861.798429326824</v>
      </c>
      <c r="T29" s="18">
        <f t="shared" si="10"/>
        <v>-99861.798429326824</v>
      </c>
      <c r="U29" s="18">
        <f t="shared" si="10"/>
        <v>-99861.798429326824</v>
      </c>
      <c r="V29" s="18">
        <f t="shared" si="10"/>
        <v>-99861.798429326824</v>
      </c>
      <c r="W29" s="18">
        <f t="shared" ref="W29:AG29" si="11">+W25+W28</f>
        <v>-99861.798429326824</v>
      </c>
      <c r="X29" s="18">
        <f t="shared" si="11"/>
        <v>-99861.798429326824</v>
      </c>
      <c r="Y29" s="18">
        <f t="shared" si="11"/>
        <v>-99861.798429326824</v>
      </c>
      <c r="Z29" s="18">
        <f t="shared" si="11"/>
        <v>-99861.798429326824</v>
      </c>
      <c r="AA29" s="18">
        <f t="shared" si="11"/>
        <v>-99861.798429326824</v>
      </c>
      <c r="AB29" s="18">
        <f t="shared" si="11"/>
        <v>-99861.798429326824</v>
      </c>
      <c r="AC29" s="18">
        <f t="shared" si="11"/>
        <v>-99861.798429326824</v>
      </c>
      <c r="AD29" s="18">
        <f t="shared" si="11"/>
        <v>-99861.798429326824</v>
      </c>
      <c r="AE29" s="18">
        <f t="shared" si="11"/>
        <v>-99861.798429326824</v>
      </c>
      <c r="AF29" s="18">
        <f t="shared" si="11"/>
        <v>-99861.798429326824</v>
      </c>
      <c r="AG29" s="18">
        <f t="shared" si="11"/>
        <v>-99861.798429326824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400</v>
      </c>
    </row>
    <row r="34" spans="1:33">
      <c r="A34" s="455"/>
    </row>
    <row r="35" spans="1:33">
      <c r="A35" s="454" t="s">
        <v>366</v>
      </c>
    </row>
    <row r="36" spans="1:33" s="18" customFormat="1">
      <c r="A36" s="45" t="s">
        <v>365</v>
      </c>
      <c r="B36" s="18">
        <f>-Assumptions!C11*Assumptions!$G$48</f>
        <v>-99861.798429326824</v>
      </c>
    </row>
    <row r="37" spans="1:33" s="18" customFormat="1">
      <c r="A37" s="45" t="s">
        <v>364</v>
      </c>
      <c r="B37" s="462">
        <f>B21*Assumptions!$G$48</f>
        <v>0</v>
      </c>
      <c r="C37" s="315">
        <f>C21*Assumptions!$G$48</f>
        <v>7488.5592139399359</v>
      </c>
      <c r="D37" s="315">
        <f>D21*Assumptions!$G$48</f>
        <v>13339.020711485882</v>
      </c>
      <c r="E37" s="315">
        <f>E21*Assumptions!$G$48</f>
        <v>12950.182863137294</v>
      </c>
      <c r="F37" s="315">
        <f>F21*Assumptions!$G$48</f>
        <v>12598.767010671501</v>
      </c>
      <c r="G37" s="315">
        <f>G21*Assumptions!$G$48</f>
        <v>12277.119605994874</v>
      </c>
      <c r="H37" s="315">
        <f>H21*Assumptions!$G$48</f>
        <v>11825.812956121386</v>
      </c>
      <c r="I37" s="315">
        <f>I21*Assumptions!$G$48</f>
        <v>11559.353650911056</v>
      </c>
      <c r="J37" s="315">
        <f>J21*Assumptions!$G$48</f>
        <v>11532.951366652571</v>
      </c>
      <c r="K37" s="315">
        <f>K21*Assumptions!$G$48</f>
        <v>11498.064646879337</v>
      </c>
      <c r="L37" s="315">
        <f>L21*Assumptions!$G$48</f>
        <v>11469.933704153384</v>
      </c>
      <c r="M37" s="315">
        <f>M21*Assumptions!$G$48</f>
        <v>11433.268666391725</v>
      </c>
      <c r="N37" s="315">
        <f>N21*Assumptions!$G$48</f>
        <v>11403.308300375429</v>
      </c>
      <c r="O37" s="315">
        <f>O21*Assumptions!$G$48</f>
        <v>11364.761245747202</v>
      </c>
      <c r="P37" s="315">
        <f>P21*Assumptions!$G$48</f>
        <v>11332.864737263273</v>
      </c>
      <c r="Q37" s="315">
        <f>Q21*Assumptions!$G$48</f>
        <v>11292.325837496424</v>
      </c>
      <c r="R37" s="315">
        <f>R21*Assumptions!$G$48</f>
        <v>10128.793385502362</v>
      </c>
      <c r="S37" s="315">
        <f>S21*Assumptions!$G$48</f>
        <v>8964.1918879632012</v>
      </c>
      <c r="T37" s="315">
        <f>T21*Assumptions!$G$48</f>
        <v>8924.2611504370034</v>
      </c>
      <c r="U37" s="315">
        <f>U21*Assumptions!$G$48</f>
        <v>8883.1988787017235</v>
      </c>
      <c r="V37" s="315">
        <f>V21*Assumptions!$G$48</f>
        <v>8840.9724544894125</v>
      </c>
      <c r="W37" s="315">
        <f>W21*Assumptions!$G$48</f>
        <v>2587.1424546521002</v>
      </c>
      <c r="X37" s="315">
        <f>X21*Assumptions!$G$48</f>
        <v>-2734.4435275948344</v>
      </c>
      <c r="Y37" s="315">
        <f>Y21*Assumptions!$G$48</f>
        <v>-2810.4141680470893</v>
      </c>
      <c r="Z37" s="315">
        <f>Z21*Assumptions!$G$48</f>
        <v>-2888.5426744053948</v>
      </c>
      <c r="AA37" s="315">
        <f>AA21*Assumptions!$G$48</f>
        <v>-2968.8913575807937</v>
      </c>
      <c r="AB37" s="315">
        <f>AB21*Assumptions!$G$48</f>
        <v>-3051.5243493103162</v>
      </c>
      <c r="AC37" s="315">
        <f>AC21*Assumptions!$G$48</f>
        <v>-3136.507655811768</v>
      </c>
      <c r="AD37" s="315">
        <f>AD21*Assumptions!$G$48</f>
        <v>-3223.9092130287054</v>
      </c>
      <c r="AE37" s="315">
        <f>AE21*Assumptions!$G$48</f>
        <v>-3313.7989435130003</v>
      </c>
      <c r="AF37" s="315">
        <f>AF21*Assumptions!$G$48</f>
        <v>-3406.2488149936944</v>
      </c>
      <c r="AG37" s="315">
        <f>AG21*Assumptions!$G$48</f>
        <v>-3501.332900682316</v>
      </c>
    </row>
    <row r="38" spans="1:33" s="18" customFormat="1">
      <c r="A38" s="45" t="s">
        <v>363</v>
      </c>
      <c r="B38" s="18">
        <f t="shared" ref="B38:AG38" si="12">SUM(B36:B37)</f>
        <v>-99861.798429326824</v>
      </c>
      <c r="C38" s="18">
        <f t="shared" si="12"/>
        <v>7488.5592139399359</v>
      </c>
      <c r="D38" s="18">
        <f t="shared" si="12"/>
        <v>13339.020711485882</v>
      </c>
      <c r="E38" s="18">
        <f t="shared" si="12"/>
        <v>12950.182863137294</v>
      </c>
      <c r="F38" s="18">
        <f t="shared" si="12"/>
        <v>12598.767010671501</v>
      </c>
      <c r="G38" s="18">
        <f t="shared" si="12"/>
        <v>12277.119605994874</v>
      </c>
      <c r="H38" s="18">
        <f t="shared" si="12"/>
        <v>11825.812956121386</v>
      </c>
      <c r="I38" s="18">
        <f t="shared" si="12"/>
        <v>11559.353650911056</v>
      </c>
      <c r="J38" s="18">
        <f t="shared" si="12"/>
        <v>11532.951366652571</v>
      </c>
      <c r="K38" s="18">
        <f t="shared" si="12"/>
        <v>11498.064646879337</v>
      </c>
      <c r="L38" s="18">
        <f t="shared" si="12"/>
        <v>11469.933704153384</v>
      </c>
      <c r="M38" s="18">
        <f t="shared" si="12"/>
        <v>11433.268666391725</v>
      </c>
      <c r="N38" s="18">
        <f t="shared" si="12"/>
        <v>11403.308300375429</v>
      </c>
      <c r="O38" s="18">
        <f t="shared" si="12"/>
        <v>11364.761245747202</v>
      </c>
      <c r="P38" s="18">
        <f t="shared" si="12"/>
        <v>11332.864737263273</v>
      </c>
      <c r="Q38" s="18">
        <f t="shared" si="12"/>
        <v>11292.325837496424</v>
      </c>
      <c r="R38" s="18">
        <f t="shared" si="12"/>
        <v>10128.793385502362</v>
      </c>
      <c r="S38" s="18">
        <f t="shared" si="12"/>
        <v>8964.1918879632012</v>
      </c>
      <c r="T38" s="18">
        <f t="shared" si="12"/>
        <v>8924.2611504370034</v>
      </c>
      <c r="U38" s="18">
        <f t="shared" si="12"/>
        <v>8883.1988787017235</v>
      </c>
      <c r="V38" s="18">
        <f t="shared" si="12"/>
        <v>8840.9724544894125</v>
      </c>
      <c r="W38" s="18">
        <f t="shared" si="12"/>
        <v>2587.1424546521002</v>
      </c>
      <c r="X38" s="18">
        <f t="shared" si="12"/>
        <v>-2734.4435275948344</v>
      </c>
      <c r="Y38" s="18">
        <f t="shared" si="12"/>
        <v>-2810.4141680470893</v>
      </c>
      <c r="Z38" s="18">
        <f t="shared" si="12"/>
        <v>-2888.5426744053948</v>
      </c>
      <c r="AA38" s="18">
        <f t="shared" si="12"/>
        <v>-2968.8913575807937</v>
      </c>
      <c r="AB38" s="18">
        <f t="shared" si="12"/>
        <v>-3051.5243493103162</v>
      </c>
      <c r="AC38" s="18">
        <f t="shared" si="12"/>
        <v>-3136.507655811768</v>
      </c>
      <c r="AD38" s="18">
        <f t="shared" si="12"/>
        <v>-3223.9092130287054</v>
      </c>
      <c r="AE38" s="18">
        <f t="shared" si="12"/>
        <v>-3313.7989435130003</v>
      </c>
      <c r="AF38" s="18">
        <f t="shared" si="12"/>
        <v>-3406.2488149936944</v>
      </c>
      <c r="AG38" s="18">
        <f t="shared" si="12"/>
        <v>-3501.332900682316</v>
      </c>
    </row>
    <row r="39" spans="1:33">
      <c r="B39" s="454" t="s">
        <v>1</v>
      </c>
      <c r="C39" s="460">
        <f>XIRR(B38:W38,B8:W8)</f>
        <v>8.5890623927116383E-2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365</v>
      </c>
      <c r="B42" s="18">
        <f>-Assumptions!C11*Assumptions!$G$48</f>
        <v>-99861.798429326824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364</v>
      </c>
      <c r="B43" s="457">
        <f>B21*Assumptions!$G$48</f>
        <v>0</v>
      </c>
      <c r="C43" s="18">
        <f>C21*Assumptions!$G$48</f>
        <v>7488.5592139399359</v>
      </c>
      <c r="D43" s="18">
        <f>D21*Assumptions!$G$48</f>
        <v>13339.020711485882</v>
      </c>
      <c r="E43" s="18">
        <f>E21*Assumptions!$G$48</f>
        <v>12950.182863137294</v>
      </c>
      <c r="F43" s="18">
        <f>F21*Assumptions!$G$48</f>
        <v>12598.767010671501</v>
      </c>
      <c r="G43" s="18">
        <f>G21*Assumptions!$G$48</f>
        <v>12277.119605994874</v>
      </c>
      <c r="H43" s="18">
        <f>H21*Assumptions!$G$48</f>
        <v>11825.812956121386</v>
      </c>
      <c r="I43" s="18">
        <f>I21*Assumptions!$G$48</f>
        <v>11559.353650911056</v>
      </c>
      <c r="J43" s="18">
        <f>J21*Assumptions!$G$48</f>
        <v>11532.951366652571</v>
      </c>
      <c r="K43" s="18">
        <f>K21*Assumptions!$G$48</f>
        <v>11498.064646879337</v>
      </c>
      <c r="L43" s="18">
        <f>L21*Assumptions!$G$48</f>
        <v>11469.933704153384</v>
      </c>
      <c r="M43" s="18">
        <f>M21*Assumptions!$G$48</f>
        <v>11433.268666391725</v>
      </c>
      <c r="N43" s="18">
        <f>N21*Assumptions!$G$48</f>
        <v>11403.308300375429</v>
      </c>
      <c r="O43" s="18">
        <f>O21*Assumptions!$G$48</f>
        <v>11364.761245747202</v>
      </c>
      <c r="P43" s="18">
        <f>P21*Assumptions!$G$48</f>
        <v>11332.864737263273</v>
      </c>
      <c r="Q43" s="18">
        <f>Q21*Assumptions!$G$48</f>
        <v>11292.325837496424</v>
      </c>
      <c r="R43" s="18">
        <f>R21*Assumptions!$G$48</f>
        <v>10128.793385502362</v>
      </c>
      <c r="S43" s="18">
        <f>S21*Assumptions!$G$48</f>
        <v>8964.1918879632012</v>
      </c>
      <c r="T43" s="18">
        <f>T21*Assumptions!$G$48</f>
        <v>8924.2611504370034</v>
      </c>
      <c r="U43" s="18">
        <f>U21*Assumptions!$G$48</f>
        <v>8883.1988787017235</v>
      </c>
      <c r="V43" s="18">
        <f>V21*Assumptions!$G$48</f>
        <v>8840.9724544894125</v>
      </c>
      <c r="W43" s="18">
        <f>W21*Assumptions!$G$48</f>
        <v>2587.1424546521002</v>
      </c>
      <c r="X43" s="18">
        <f>X21*Assumptions!$G$48</f>
        <v>-2734.4435275948344</v>
      </c>
      <c r="Y43" s="18">
        <f>Y21*Assumptions!$G$48</f>
        <v>-2810.4141680470893</v>
      </c>
      <c r="Z43" s="18">
        <f>Z21*Assumptions!$G$48</f>
        <v>-2888.5426744053948</v>
      </c>
      <c r="AA43" s="18">
        <f>AA21*Assumptions!$G$48</f>
        <v>-2968.8913575807937</v>
      </c>
      <c r="AB43" s="18">
        <f>AB21*Assumptions!$G$48</f>
        <v>-3051.5243493103162</v>
      </c>
      <c r="AC43" s="18">
        <f>AC21*Assumptions!$G$48</f>
        <v>-3136.507655811768</v>
      </c>
      <c r="AD43" s="18">
        <f>AD21*Assumptions!$G$48</f>
        <v>-3223.9092130287054</v>
      </c>
      <c r="AE43" s="18">
        <f>AE21*Assumptions!$G$48</f>
        <v>-3313.7989435130003</v>
      </c>
      <c r="AF43" s="18">
        <f>AF21*Assumptions!$G$48</f>
        <v>-3406.2488149936944</v>
      </c>
      <c r="AG43" s="18">
        <f>AG21*Assumptions!$G$48</f>
        <v>-3501.332900682316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Assumptions!H23*IS!W32*Assumptions!G48</f>
        <v>21399.027747329201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-17031.244074968472</v>
      </c>
    </row>
    <row r="45" spans="1:33">
      <c r="A45" s="56" t="s">
        <v>363</v>
      </c>
      <c r="B45" s="18">
        <f t="shared" ref="B45:AG45" si="13">SUM(B42:B44)</f>
        <v>-99861.798429326824</v>
      </c>
      <c r="C45" s="18">
        <f t="shared" si="13"/>
        <v>7488.5592139399359</v>
      </c>
      <c r="D45" s="18">
        <f t="shared" si="13"/>
        <v>13339.020711485882</v>
      </c>
      <c r="E45" s="18">
        <f t="shared" si="13"/>
        <v>12950.182863137294</v>
      </c>
      <c r="F45" s="18">
        <f t="shared" si="13"/>
        <v>12598.767010671501</v>
      </c>
      <c r="G45" s="18">
        <f t="shared" si="13"/>
        <v>12277.119605994874</v>
      </c>
      <c r="H45" s="18">
        <f t="shared" si="13"/>
        <v>11825.812956121386</v>
      </c>
      <c r="I45" s="18">
        <f t="shared" si="13"/>
        <v>11559.353650911056</v>
      </c>
      <c r="J45" s="18">
        <f t="shared" si="13"/>
        <v>11532.951366652571</v>
      </c>
      <c r="K45" s="18">
        <f t="shared" si="13"/>
        <v>11498.064646879337</v>
      </c>
      <c r="L45" s="18">
        <f t="shared" si="13"/>
        <v>11469.933704153384</v>
      </c>
      <c r="M45" s="18">
        <f t="shared" si="13"/>
        <v>11433.268666391725</v>
      </c>
      <c r="N45" s="18">
        <f t="shared" si="13"/>
        <v>11403.308300375429</v>
      </c>
      <c r="O45" s="18">
        <f t="shared" si="13"/>
        <v>11364.761245747202</v>
      </c>
      <c r="P45" s="18">
        <f t="shared" si="13"/>
        <v>11332.864737263273</v>
      </c>
      <c r="Q45" s="18">
        <f t="shared" si="13"/>
        <v>11292.325837496424</v>
      </c>
      <c r="R45" s="18">
        <f t="shared" si="13"/>
        <v>10128.793385502362</v>
      </c>
      <c r="S45" s="18">
        <f t="shared" si="13"/>
        <v>8964.1918879632012</v>
      </c>
      <c r="T45" s="18">
        <f t="shared" si="13"/>
        <v>8924.2611504370034</v>
      </c>
      <c r="U45" s="18">
        <f t="shared" si="13"/>
        <v>8883.1988787017235</v>
      </c>
      <c r="V45" s="18">
        <f t="shared" si="13"/>
        <v>8840.9724544894125</v>
      </c>
      <c r="W45" s="18">
        <f t="shared" si="13"/>
        <v>23986.170201981302</v>
      </c>
      <c r="X45" s="18">
        <f t="shared" si="13"/>
        <v>-2734.4435275948344</v>
      </c>
      <c r="Y45" s="18">
        <f t="shared" si="13"/>
        <v>-2810.4141680470893</v>
      </c>
      <c r="Z45" s="18">
        <f t="shared" si="13"/>
        <v>-2888.5426744053948</v>
      </c>
      <c r="AA45" s="18">
        <f t="shared" si="13"/>
        <v>-2968.8913575807937</v>
      </c>
      <c r="AB45" s="18">
        <f t="shared" si="13"/>
        <v>-3051.5243493103162</v>
      </c>
      <c r="AC45" s="18">
        <f t="shared" si="13"/>
        <v>-3136.507655811768</v>
      </c>
      <c r="AD45" s="18">
        <f t="shared" si="13"/>
        <v>-3223.9092130287054</v>
      </c>
      <c r="AE45" s="18">
        <f t="shared" si="13"/>
        <v>-3313.7989435130003</v>
      </c>
      <c r="AF45" s="18">
        <f t="shared" si="13"/>
        <v>-3406.2488149936944</v>
      </c>
      <c r="AG45" s="18">
        <f t="shared" si="13"/>
        <v>-20532.576975650787</v>
      </c>
    </row>
    <row r="46" spans="1:33">
      <c r="A46" s="13"/>
      <c r="B46" s="454" t="s">
        <v>1</v>
      </c>
      <c r="C46" s="460">
        <f>XIRR(B45:W45,B8:W8)</f>
        <v>9.0187850594520572E-2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365</v>
      </c>
      <c r="B49" s="18">
        <f>-Assumptions!C11*Assumptions!G48</f>
        <v>-99861.798429326824</v>
      </c>
    </row>
    <row r="50" spans="1:33" s="18" customFormat="1">
      <c r="A50" s="56" t="s">
        <v>364</v>
      </c>
      <c r="B50" s="18">
        <f>+B21*Assumptions!$G$48</f>
        <v>0</v>
      </c>
      <c r="C50" s="18">
        <f>+C21*Assumptions!$G$48</f>
        <v>7488.5592139399359</v>
      </c>
      <c r="D50" s="18">
        <f>+D21*Assumptions!$G$48</f>
        <v>13339.020711485882</v>
      </c>
      <c r="E50" s="18">
        <f>+E21*Assumptions!$G$48</f>
        <v>12950.182863137294</v>
      </c>
      <c r="F50" s="18">
        <f>+F21*Assumptions!$G$48</f>
        <v>12598.767010671501</v>
      </c>
      <c r="G50" s="18">
        <f>+G21*Assumptions!$G$48</f>
        <v>12277.119605994874</v>
      </c>
      <c r="H50" s="18">
        <f>+H21*Assumptions!$G$48</f>
        <v>11825.812956121386</v>
      </c>
      <c r="I50" s="18">
        <f>+I21*Assumptions!$G$48</f>
        <v>11559.353650911056</v>
      </c>
      <c r="J50" s="18">
        <f>+J21*Assumptions!$G$48</f>
        <v>11532.951366652571</v>
      </c>
      <c r="K50" s="18">
        <f>+K21*Assumptions!$G$48</f>
        <v>11498.064646879337</v>
      </c>
      <c r="L50" s="18">
        <f>+L21*Assumptions!$G$48</f>
        <v>11469.933704153384</v>
      </c>
      <c r="M50" s="18">
        <f>+M21*Assumptions!$G$48</f>
        <v>11433.268666391725</v>
      </c>
      <c r="N50" s="18">
        <f>+N21*Assumptions!$G$48</f>
        <v>11403.308300375429</v>
      </c>
      <c r="O50" s="18">
        <f>+O21*Assumptions!$G$48</f>
        <v>11364.761245747202</v>
      </c>
      <c r="P50" s="18">
        <f>+P21*Assumptions!$G$48</f>
        <v>11332.864737263273</v>
      </c>
      <c r="Q50" s="18">
        <f>+Q21*Assumptions!$G$48</f>
        <v>11292.325837496424</v>
      </c>
      <c r="R50" s="18">
        <f>+R21*Assumptions!$G$48</f>
        <v>10128.793385502362</v>
      </c>
      <c r="S50" s="18">
        <f>+S21*Assumptions!$G$48</f>
        <v>8964.1918879632012</v>
      </c>
      <c r="T50" s="18">
        <f>+T21*Assumptions!$G$48</f>
        <v>8924.2611504370034</v>
      </c>
      <c r="U50" s="18">
        <f>+U21*Assumptions!$G$48</f>
        <v>8883.1988787017235</v>
      </c>
      <c r="V50" s="18">
        <f>+V21*Assumptions!$G$48</f>
        <v>8840.9724544894125</v>
      </c>
      <c r="W50" s="18">
        <f>+W21*Assumptions!$G$48</f>
        <v>2587.1424546521002</v>
      </c>
      <c r="X50" s="18">
        <f>+X21*Assumptions!$G$48</f>
        <v>-2734.4435275948344</v>
      </c>
      <c r="Y50" s="18">
        <f>+Y21*Assumptions!$G$48</f>
        <v>-2810.4141680470893</v>
      </c>
      <c r="Z50" s="18">
        <f>+Z21*Assumptions!$G$48</f>
        <v>-2888.5426744053948</v>
      </c>
      <c r="AA50" s="18">
        <f>+AA21*Assumptions!$G$48</f>
        <v>-2968.8913575807937</v>
      </c>
      <c r="AB50" s="18">
        <f>+AB21*Assumptions!$G$48</f>
        <v>-3051.5243493103162</v>
      </c>
      <c r="AC50" s="18">
        <f>+AC21*Assumptions!$G$48</f>
        <v>-3136.507655811768</v>
      </c>
      <c r="AD50" s="18">
        <f>+AD21*Assumptions!$G$48</f>
        <v>-3223.9092130287054</v>
      </c>
      <c r="AE50" s="18">
        <f>+AE21*Assumptions!$G$48</f>
        <v>-3313.7989435130003</v>
      </c>
      <c r="AF50" s="18">
        <f>+AF21*Assumptions!$G$48</f>
        <v>-3406.2488149936944</v>
      </c>
      <c r="AG50" s="18">
        <f>+AG21*Assumptions!$G$48</f>
        <v>-3501.332900682316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19972.359685865365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19972.359685865365</v>
      </c>
    </row>
    <row r="52" spans="1:33" s="18" customFormat="1">
      <c r="A52" s="56" t="s">
        <v>363</v>
      </c>
      <c r="B52" s="18">
        <f>SUM(B49:B51)</f>
        <v>-99861.798429326824</v>
      </c>
      <c r="C52" s="18">
        <f t="shared" ref="C52:AG52" si="14">SUM(C49:C51)</f>
        <v>7488.5592139399359</v>
      </c>
      <c r="D52" s="18">
        <f t="shared" si="14"/>
        <v>13339.020711485882</v>
      </c>
      <c r="E52" s="18">
        <f t="shared" si="14"/>
        <v>12950.182863137294</v>
      </c>
      <c r="F52" s="18">
        <f t="shared" si="14"/>
        <v>12598.767010671501</v>
      </c>
      <c r="G52" s="18">
        <f t="shared" si="14"/>
        <v>12277.119605994874</v>
      </c>
      <c r="H52" s="18">
        <f t="shared" si="14"/>
        <v>11825.812956121386</v>
      </c>
      <c r="I52" s="18">
        <f t="shared" si="14"/>
        <v>11559.353650911056</v>
      </c>
      <c r="J52" s="18">
        <f t="shared" si="14"/>
        <v>11532.951366652571</v>
      </c>
      <c r="K52" s="18">
        <f t="shared" si="14"/>
        <v>11498.064646879337</v>
      </c>
      <c r="L52" s="18">
        <f t="shared" si="14"/>
        <v>11469.933704153384</v>
      </c>
      <c r="M52" s="18">
        <f t="shared" si="14"/>
        <v>11433.268666391725</v>
      </c>
      <c r="N52" s="18">
        <f t="shared" si="14"/>
        <v>11403.308300375429</v>
      </c>
      <c r="O52" s="18">
        <f t="shared" si="14"/>
        <v>11364.761245747202</v>
      </c>
      <c r="P52" s="18">
        <f t="shared" si="14"/>
        <v>11332.864737263273</v>
      </c>
      <c r="Q52" s="18">
        <f t="shared" si="14"/>
        <v>11292.325837496424</v>
      </c>
      <c r="R52" s="18">
        <f t="shared" si="14"/>
        <v>10128.793385502362</v>
      </c>
      <c r="S52" s="18">
        <f t="shared" si="14"/>
        <v>8964.1918879632012</v>
      </c>
      <c r="T52" s="18">
        <f t="shared" si="14"/>
        <v>8924.2611504370034</v>
      </c>
      <c r="U52" s="18">
        <f t="shared" si="14"/>
        <v>8883.1988787017235</v>
      </c>
      <c r="V52" s="18">
        <f t="shared" si="14"/>
        <v>8840.9724544894125</v>
      </c>
      <c r="W52" s="18">
        <f t="shared" si="14"/>
        <v>22559.502140517467</v>
      </c>
      <c r="X52" s="18">
        <f t="shared" si="14"/>
        <v>-2734.4435275948344</v>
      </c>
      <c r="Y52" s="18">
        <f t="shared" si="14"/>
        <v>-2810.4141680470893</v>
      </c>
      <c r="Z52" s="18">
        <f t="shared" si="14"/>
        <v>-2888.5426744053948</v>
      </c>
      <c r="AA52" s="18">
        <f t="shared" si="14"/>
        <v>-2968.8913575807937</v>
      </c>
      <c r="AB52" s="18">
        <f t="shared" si="14"/>
        <v>-3051.5243493103162</v>
      </c>
      <c r="AC52" s="18">
        <f t="shared" si="14"/>
        <v>-3136.507655811768</v>
      </c>
      <c r="AD52" s="18">
        <f t="shared" si="14"/>
        <v>-3223.9092130287054</v>
      </c>
      <c r="AE52" s="18">
        <f t="shared" si="14"/>
        <v>-3313.7989435130003</v>
      </c>
      <c r="AF52" s="18">
        <f t="shared" si="14"/>
        <v>-3406.2488149936944</v>
      </c>
      <c r="AG52" s="18">
        <f t="shared" si="14"/>
        <v>16471.02678518305</v>
      </c>
    </row>
    <row r="53" spans="1:33">
      <c r="A53" s="13"/>
      <c r="B53" s="454" t="s">
        <v>1</v>
      </c>
      <c r="C53" s="460">
        <f>XIRR(B52:W52,B8:W8)</f>
        <v>8.9916852116584803E-2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365</v>
      </c>
      <c r="B56" s="18">
        <f>-Assumptions!C11*Assumptions!G48</f>
        <v>-99861.798429326824</v>
      </c>
    </row>
    <row r="57" spans="1:33" s="18" customFormat="1">
      <c r="A57" s="56" t="s">
        <v>364</v>
      </c>
      <c r="B57" s="457">
        <f>B21*Assumptions!$G$48</f>
        <v>0</v>
      </c>
      <c r="C57" s="18">
        <f>C21*Assumptions!$G$48</f>
        <v>7488.5592139399359</v>
      </c>
      <c r="D57" s="18">
        <f>D21*Assumptions!$G$48</f>
        <v>13339.020711485882</v>
      </c>
      <c r="E57" s="18">
        <f>E21*Assumptions!$G$48</f>
        <v>12950.182863137294</v>
      </c>
      <c r="F57" s="18">
        <f>F21*Assumptions!$G$48</f>
        <v>12598.767010671501</v>
      </c>
      <c r="G57" s="18">
        <f>G21*Assumptions!$G$48</f>
        <v>12277.119605994874</v>
      </c>
      <c r="H57" s="18">
        <f>H21*Assumptions!$G$48</f>
        <v>11825.812956121386</v>
      </c>
      <c r="I57" s="18">
        <f>I21*Assumptions!$G$48</f>
        <v>11559.353650911056</v>
      </c>
      <c r="J57" s="18">
        <f>J21*Assumptions!$G$48</f>
        <v>11532.951366652571</v>
      </c>
      <c r="K57" s="18">
        <f>K21*Assumptions!$G$48</f>
        <v>11498.064646879337</v>
      </c>
      <c r="L57" s="18">
        <f>L21*Assumptions!$G$48</f>
        <v>11469.933704153384</v>
      </c>
      <c r="M57" s="18">
        <f>M21*Assumptions!$G$48</f>
        <v>11433.268666391725</v>
      </c>
      <c r="N57" s="18">
        <f>N21*Assumptions!$G$48</f>
        <v>11403.308300375429</v>
      </c>
      <c r="O57" s="18">
        <f>O21*Assumptions!$G$48</f>
        <v>11364.761245747202</v>
      </c>
      <c r="P57" s="18">
        <f>P21*Assumptions!$G$48</f>
        <v>11332.864737263273</v>
      </c>
      <c r="Q57" s="18">
        <f>Q21*Assumptions!$G$48</f>
        <v>11292.325837496424</v>
      </c>
      <c r="R57" s="18">
        <f>R21*Assumptions!$G$48</f>
        <v>10128.793385502362</v>
      </c>
      <c r="S57" s="18">
        <f>S21*Assumptions!$G$48</f>
        <v>8964.1918879632012</v>
      </c>
      <c r="T57" s="18">
        <f>T21*Assumptions!$G$48</f>
        <v>8924.2611504370034</v>
      </c>
      <c r="U57" s="18">
        <f>U21*Assumptions!$G$48</f>
        <v>8883.1988787017235</v>
      </c>
      <c r="V57" s="18">
        <f>V21*Assumptions!$G$48</f>
        <v>8840.9724544894125</v>
      </c>
      <c r="W57" s="18">
        <f>W21*Assumptions!$G$48</f>
        <v>2587.1424546521002</v>
      </c>
      <c r="X57" s="18">
        <f>X21*Assumptions!$G$48</f>
        <v>-2734.4435275948344</v>
      </c>
      <c r="Y57" s="18">
        <f>Y21*Assumptions!$G$48</f>
        <v>-2810.4141680470893</v>
      </c>
      <c r="Z57" s="18">
        <f>Z21*Assumptions!$G$48</f>
        <v>-2888.5426744053948</v>
      </c>
      <c r="AA57" s="18">
        <f>AA21*Assumptions!$G$48</f>
        <v>-2968.8913575807937</v>
      </c>
      <c r="AB57" s="18">
        <f>AB21*Assumptions!$G$48</f>
        <v>-3051.5243493103162</v>
      </c>
      <c r="AC57" s="18">
        <f>AC21*Assumptions!$G$48</f>
        <v>-3136.507655811768</v>
      </c>
      <c r="AD57" s="18">
        <f>AD21*Assumptions!$G$48</f>
        <v>-3223.9092130287054</v>
      </c>
      <c r="AE57" s="18">
        <f>AE21*Assumptions!$G$48</f>
        <v>-3313.7989435130003</v>
      </c>
      <c r="AF57" s="18">
        <f>AF21*Assumptions!$G$48</f>
        <v>-3406.2488149936944</v>
      </c>
      <c r="AG57" s="18">
        <f>AG21*Assumptions!$G$48</f>
        <v>-3501.332900682316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38000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363</v>
      </c>
      <c r="B59" s="18">
        <f>SUM(B56:B58)</f>
        <v>-99861.798429326824</v>
      </c>
      <c r="C59" s="18">
        <f t="shared" ref="C59:AG59" si="15">SUM(C56:C58)</f>
        <v>7488.5592139399359</v>
      </c>
      <c r="D59" s="18">
        <f t="shared" si="15"/>
        <v>13339.020711485882</v>
      </c>
      <c r="E59" s="18">
        <f t="shared" si="15"/>
        <v>12950.182863137294</v>
      </c>
      <c r="F59" s="18">
        <f t="shared" si="15"/>
        <v>12598.767010671501</v>
      </c>
      <c r="G59" s="18">
        <f t="shared" si="15"/>
        <v>12277.119605994874</v>
      </c>
      <c r="H59" s="18">
        <f t="shared" si="15"/>
        <v>11825.812956121386</v>
      </c>
      <c r="I59" s="18">
        <f t="shared" si="15"/>
        <v>11559.353650911056</v>
      </c>
      <c r="J59" s="18">
        <f t="shared" si="15"/>
        <v>11532.951366652571</v>
      </c>
      <c r="K59" s="18">
        <f t="shared" si="15"/>
        <v>11498.064646879337</v>
      </c>
      <c r="L59" s="18">
        <f t="shared" si="15"/>
        <v>11469.933704153384</v>
      </c>
      <c r="M59" s="18">
        <f t="shared" si="15"/>
        <v>11433.268666391725</v>
      </c>
      <c r="N59" s="18">
        <f t="shared" si="15"/>
        <v>11403.308300375429</v>
      </c>
      <c r="O59" s="18">
        <f t="shared" si="15"/>
        <v>11364.761245747202</v>
      </c>
      <c r="P59" s="18">
        <f t="shared" si="15"/>
        <v>11332.864737263273</v>
      </c>
      <c r="Q59" s="18">
        <f t="shared" si="15"/>
        <v>11292.325837496424</v>
      </c>
      <c r="R59" s="18">
        <f t="shared" si="15"/>
        <v>10128.793385502362</v>
      </c>
      <c r="S59" s="18">
        <f t="shared" si="15"/>
        <v>8964.1918879632012</v>
      </c>
      <c r="T59" s="18">
        <f t="shared" si="15"/>
        <v>8924.2611504370034</v>
      </c>
      <c r="U59" s="18">
        <f t="shared" si="15"/>
        <v>8883.1988787017235</v>
      </c>
      <c r="V59" s="18">
        <f t="shared" si="15"/>
        <v>8840.9724544894125</v>
      </c>
      <c r="W59" s="18">
        <f t="shared" si="15"/>
        <v>40587.142454652101</v>
      </c>
      <c r="X59" s="18">
        <f t="shared" si="15"/>
        <v>-2734.4435275948344</v>
      </c>
      <c r="Y59" s="18">
        <f t="shared" si="15"/>
        <v>-2810.4141680470893</v>
      </c>
      <c r="Z59" s="18">
        <f t="shared" si="15"/>
        <v>-2888.5426744053948</v>
      </c>
      <c r="AA59" s="18">
        <f t="shared" si="15"/>
        <v>-2968.8913575807937</v>
      </c>
      <c r="AB59" s="18">
        <f t="shared" si="15"/>
        <v>-3051.5243493103162</v>
      </c>
      <c r="AC59" s="18">
        <f t="shared" si="15"/>
        <v>-3136.507655811768</v>
      </c>
      <c r="AD59" s="18">
        <f t="shared" si="15"/>
        <v>-3223.9092130287054</v>
      </c>
      <c r="AE59" s="18">
        <f t="shared" si="15"/>
        <v>-3313.7989435130003</v>
      </c>
      <c r="AF59" s="18">
        <f t="shared" si="15"/>
        <v>-3406.2488149936944</v>
      </c>
      <c r="AG59" s="18">
        <f t="shared" si="15"/>
        <v>34498.667099317681</v>
      </c>
    </row>
    <row r="60" spans="1:33">
      <c r="A60" s="13"/>
      <c r="B60" s="454" t="s">
        <v>1</v>
      </c>
      <c r="C60" s="460">
        <f>XIRR(B59:W59,B8:W8)</f>
        <v>9.3201145529747009E-2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440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441</v>
      </c>
      <c r="B4" s="542">
        <v>7.0000000000000007E-2</v>
      </c>
    </row>
    <row r="5" spans="1:22">
      <c r="A5" t="s">
        <v>442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443</v>
      </c>
      <c r="B7" s="545">
        <f>Assumptions!C34</f>
        <v>96489.798429326824</v>
      </c>
    </row>
    <row r="8" spans="1:22">
      <c r="A8" t="s">
        <v>444</v>
      </c>
      <c r="B8" s="546">
        <f>Assumptions!C20+Assumptions!C21</f>
        <v>57289.798429326831</v>
      </c>
    </row>
    <row r="10" spans="1:22">
      <c r="A10" t="s">
        <v>445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446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2000-03-01T21:23:33Z</cp:lastPrinted>
  <dcterms:created xsi:type="dcterms:W3CDTF">1999-04-02T01:38:38Z</dcterms:created>
  <dcterms:modified xsi:type="dcterms:W3CDTF">2023-09-13T22:02:13Z</dcterms:modified>
</cp:coreProperties>
</file>