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725039-3E5E-4EDA-960B-7437FC94F8AB}" xr6:coauthVersionLast="47" xr6:coauthVersionMax="47" xr10:uidLastSave="{00000000-0000-0000-0000-000000000000}"/>
  <bookViews>
    <workbookView xWindow="-120" yWindow="-120" windowWidth="38640" windowHeight="15720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nnualHours" localSheetId="8">[7]Assumptions!#REF!</definedName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 localSheetId="8">[7]Assumptions!#REF!</definedName>
    <definedName name="Maint_Accrual">Assumptions!#REF!</definedName>
    <definedName name="OpHours">[6]Assumptions!#REF!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'[3]Project Assumptions'!#REF!</definedName>
    <definedName name="Variable" localSheetId="8">[7]Assumptions!#REF!</definedName>
    <definedName name="Variable">Assumptions!#REF!</definedName>
    <definedName name="WaterTreatmentVar" localSheetId="8">[7]Assumptions!#REF!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<sst xmlns="http://schemas.openxmlformats.org/spreadsheetml/2006/main" count="576" uniqueCount="449">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</sst>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ABC0E82-88D2-EDB3-26F8-45B316DC3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61033F6-9DFB-FBE1-1292-11663C1D1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44A77F2C-3E1D-C8B6-54A2-60068D369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D50FD7A7-12C7-646F-B45A-4C077F600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81A93088-9DBE-444A-9FEE-5A52BC2A9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3209.3249079351326</v>
      </c>
      <c r="C11" s="394">
        <f t="shared" ref="C11:AF11" si="1">C29+C38</f>
        <v>9578.7263428262868</v>
      </c>
      <c r="D11" s="394">
        <f t="shared" si="1"/>
        <v>9544.5703615777638</v>
      </c>
      <c r="E11" s="394">
        <f t="shared" si="1"/>
        <v>10485.568486870721</v>
      </c>
      <c r="F11" s="394">
        <f t="shared" si="1"/>
        <v>11411.508241120693</v>
      </c>
      <c r="G11" s="394">
        <f t="shared" si="1"/>
        <v>11720.667104776494</v>
      </c>
      <c r="H11" s="394">
        <f t="shared" si="1"/>
        <v>11842.725143091619</v>
      </c>
      <c r="I11" s="394">
        <f t="shared" si="1"/>
        <v>11969.653602734492</v>
      </c>
      <c r="J11" s="394">
        <f t="shared" si="1"/>
        <v>12254.572530068814</v>
      </c>
      <c r="K11" s="394">
        <f t="shared" si="1"/>
        <v>12441.357022464592</v>
      </c>
      <c r="L11" s="394">
        <f t="shared" si="1"/>
        <v>12753.353795138162</v>
      </c>
      <c r="M11" s="394">
        <f t="shared" si="1"/>
        <v>12943.84618139231</v>
      </c>
      <c r="N11" s="394">
        <f t="shared" si="1"/>
        <v>13249.113641919499</v>
      </c>
      <c r="O11" s="394">
        <f t="shared" si="1"/>
        <v>13442.3593459038</v>
      </c>
      <c r="P11" s="471">
        <f t="shared" si="1"/>
        <v>13554.183048959661</v>
      </c>
      <c r="Q11" s="394">
        <f t="shared" si="1"/>
        <v>13669.868772307254</v>
      </c>
      <c r="R11" s="394">
        <f t="shared" si="1"/>
        <v>13786.9782309271</v>
      </c>
      <c r="S11" s="394">
        <f t="shared" si="1"/>
        <v>13927.355990724658</v>
      </c>
      <c r="T11" s="394">
        <f t="shared" si="1"/>
        <v>14023.050992252956</v>
      </c>
      <c r="U11" s="394">
        <f t="shared" si="1"/>
        <v>14112.693417767368</v>
      </c>
      <c r="V11" s="394">
        <f t="shared" si="1"/>
        <v>7045.8585106422124</v>
      </c>
      <c r="W11" s="394">
        <f t="shared" si="1"/>
        <v>-423.7199469425608</v>
      </c>
      <c r="X11" s="394">
        <f t="shared" si="1"/>
        <v>-2176.1047019756456</v>
      </c>
      <c r="Y11" s="394">
        <f t="shared" si="1"/>
        <v>-2242.9258193067494</v>
      </c>
      <c r="Z11" s="394">
        <f t="shared" si="1"/>
        <v>-2307.0915020541297</v>
      </c>
      <c r="AA11" s="394">
        <f t="shared" si="1"/>
        <v>-2377.8883626757424</v>
      </c>
      <c r="AB11" s="394">
        <f t="shared" si="1"/>
        <v>-2449.2250135560143</v>
      </c>
      <c r="AC11" s="394">
        <f t="shared" si="1"/>
        <v>-2524.4327698062166</v>
      </c>
      <c r="AD11" s="394">
        <f t="shared" si="1"/>
        <v>-2596.6518110380553</v>
      </c>
      <c r="AE11" s="394">
        <f t="shared" si="1"/>
        <v>-2676.3343013880231</v>
      </c>
      <c r="AF11" s="471">
        <f t="shared" si="1"/>
        <v>-3448.919487417962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2468.7114676424098</v>
      </c>
      <c r="C13" s="312">
        <f t="shared" ref="C13:AF13" si="2">C11/C12</f>
        <v>7368.2510329432971</v>
      </c>
      <c r="D13" s="312">
        <f t="shared" si="2"/>
        <v>7341.9772012136646</v>
      </c>
      <c r="E13" s="312">
        <f t="shared" si="2"/>
        <v>8065.821912977478</v>
      </c>
      <c r="F13" s="312">
        <f t="shared" si="2"/>
        <v>8778.0832624005325</v>
      </c>
      <c r="G13" s="312">
        <f t="shared" si="2"/>
        <v>9015.8977729049948</v>
      </c>
      <c r="H13" s="312">
        <f t="shared" si="2"/>
        <v>9109.7885716089368</v>
      </c>
      <c r="I13" s="312">
        <f t="shared" si="2"/>
        <v>9207.4258482573005</v>
      </c>
      <c r="J13" s="312">
        <f t="shared" si="2"/>
        <v>9426.5942538990876</v>
      </c>
      <c r="K13" s="312">
        <f t="shared" si="2"/>
        <v>9570.2746326650704</v>
      </c>
      <c r="L13" s="312">
        <f t="shared" si="2"/>
        <v>9810.2721501062788</v>
      </c>
      <c r="M13" s="312">
        <f t="shared" si="2"/>
        <v>9956.8047549171606</v>
      </c>
      <c r="N13" s="312">
        <f t="shared" si="2"/>
        <v>10191.625878399615</v>
      </c>
      <c r="O13" s="312">
        <f t="shared" si="2"/>
        <v>10340.276419926</v>
      </c>
      <c r="P13" s="398">
        <f t="shared" si="2"/>
        <v>10426.294653045892</v>
      </c>
      <c r="Q13" s="312">
        <f t="shared" si="2"/>
        <v>10515.28367100558</v>
      </c>
      <c r="R13" s="312">
        <f t="shared" si="2"/>
        <v>10605.367869943922</v>
      </c>
      <c r="S13" s="312">
        <f t="shared" si="2"/>
        <v>10713.35076209589</v>
      </c>
      <c r="T13" s="312">
        <f t="shared" si="2"/>
        <v>10786.962301733043</v>
      </c>
      <c r="U13" s="312">
        <f t="shared" si="2"/>
        <v>10855.918013667206</v>
      </c>
      <c r="V13" s="312">
        <f t="shared" si="2"/>
        <v>5419.8911620324707</v>
      </c>
      <c r="W13" s="312">
        <f t="shared" si="2"/>
        <v>-325.93842072504674</v>
      </c>
      <c r="X13" s="312">
        <f t="shared" si="2"/>
        <v>-1673.9266938274197</v>
      </c>
      <c r="Y13" s="312">
        <f t="shared" si="2"/>
        <v>-1725.3275533128842</v>
      </c>
      <c r="Z13" s="312">
        <f t="shared" si="2"/>
        <v>-1774.6857708108689</v>
      </c>
      <c r="AA13" s="312">
        <f t="shared" si="2"/>
        <v>-1829.1448943659557</v>
      </c>
      <c r="AB13" s="312">
        <f t="shared" si="2"/>
        <v>-1884.019241196934</v>
      </c>
      <c r="AC13" s="312">
        <f t="shared" si="2"/>
        <v>-1941.8713613893974</v>
      </c>
      <c r="AD13" s="312">
        <f t="shared" si="2"/>
        <v>-1997.4244700292732</v>
      </c>
      <c r="AE13" s="312">
        <f t="shared" si="2"/>
        <v>-2058.7186933754024</v>
      </c>
      <c r="AF13" s="398">
        <f t="shared" si="2"/>
        <v>-2653.0149903215092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76645.682528245845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76353.057926634676</v>
      </c>
      <c r="D24" s="48">
        <f t="shared" ref="D24:AF24" si="3">C45</f>
        <v>75454.569487639412</v>
      </c>
      <c r="E24" s="48">
        <f t="shared" si="3"/>
        <v>74506.075026603401</v>
      </c>
      <c r="F24" s="48">
        <f t="shared" si="3"/>
        <v>72740.944696639504</v>
      </c>
      <c r="G24" s="48">
        <f t="shared" si="3"/>
        <v>70085.792489185842</v>
      </c>
      <c r="H24" s="48">
        <f t="shared" si="3"/>
        <v>66961.665864497452</v>
      </c>
      <c r="I24" s="48">
        <f t="shared" si="3"/>
        <v>63470.454120929753</v>
      </c>
      <c r="J24" s="48">
        <f t="shared" si="3"/>
        <v>59580.833774493076</v>
      </c>
      <c r="K24" s="48">
        <f t="shared" si="3"/>
        <v>55121.766718046892</v>
      </c>
      <c r="L24" s="48">
        <f t="shared" si="3"/>
        <v>50132.479690748121</v>
      </c>
      <c r="M24" s="48">
        <f t="shared" si="3"/>
        <v>44464.979996935057</v>
      </c>
      <c r="N24" s="48">
        <f t="shared" si="3"/>
        <v>38159.11529860818</v>
      </c>
      <c r="O24" s="48">
        <f t="shared" si="3"/>
        <v>31060.469595767638</v>
      </c>
      <c r="P24" s="48">
        <f t="shared" si="3"/>
        <v>23196.102767257053</v>
      </c>
      <c r="Q24" s="48">
        <f t="shared" si="3"/>
        <v>14561.208723878768</v>
      </c>
      <c r="R24" s="48">
        <f t="shared" si="3"/>
        <v>5087.3581409258104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332.88358803241397</v>
      </c>
      <c r="Y24" s="48">
        <f t="shared" si="3"/>
        <v>2071.3750501903905</v>
      </c>
      <c r="Z24" s="48">
        <f t="shared" si="3"/>
        <v>4013.2991464601823</v>
      </c>
      <c r="AA24" s="48">
        <f t="shared" si="3"/>
        <v>6173.9374281112277</v>
      </c>
      <c r="AB24" s="48">
        <f t="shared" si="3"/>
        <v>8577.9944149582134</v>
      </c>
      <c r="AC24" s="48">
        <f t="shared" si="3"/>
        <v>11246.782162466252</v>
      </c>
      <c r="AD24" s="48">
        <f t="shared" si="3"/>
        <v>14206.888150781762</v>
      </c>
      <c r="AE24" s="48">
        <f t="shared" si="3"/>
        <v>17479.263021517581</v>
      </c>
      <c r="AF24" s="48">
        <f t="shared" si="3"/>
        <v>21099.15838271712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449.11847898444103</v>
      </c>
      <c r="D26" s="48">
        <f t="shared" si="4"/>
        <v>472.9552034183871</v>
      </c>
      <c r="E26" s="48">
        <f t="shared" si="4"/>
        <v>862.08878859069955</v>
      </c>
      <c r="F26" s="48">
        <f t="shared" si="4"/>
        <v>1310.2330940040702</v>
      </c>
      <c r="G26" s="48">
        <f t="shared" si="4"/>
        <v>1537.463380130037</v>
      </c>
      <c r="H26" s="48">
        <f t="shared" si="4"/>
        <v>1716.8203928626244</v>
      </c>
      <c r="I26" s="48">
        <f t="shared" si="4"/>
        <v>1902.5436186547158</v>
      </c>
      <c r="J26" s="48">
        <f t="shared" si="4"/>
        <v>2191.4989781464246</v>
      </c>
      <c r="K26" s="48">
        <f t="shared" si="4"/>
        <v>2448.8805187210673</v>
      </c>
      <c r="L26" s="48">
        <f t="shared" si="4"/>
        <v>2780.3430317219827</v>
      </c>
      <c r="M26" s="48">
        <f t="shared" si="4"/>
        <v>3086.0661589813317</v>
      </c>
      <c r="N26" s="48">
        <f t="shared" si="4"/>
        <v>3480.7031761472535</v>
      </c>
      <c r="O26" s="48">
        <f t="shared" si="4"/>
        <v>3853.6848821642998</v>
      </c>
      <c r="P26" s="48">
        <f t="shared" si="4"/>
        <v>4230.0138749901635</v>
      </c>
      <c r="Q26" s="48">
        <f t="shared" si="4"/>
        <v>4637.9473556019329</v>
      </c>
      <c r="R26" s="48">
        <f t="shared" si="4"/>
        <v>5087.3581409258104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-162.96921036252337</v>
      </c>
      <c r="X26" s="48">
        <f t="shared" si="4"/>
        <v>-851.07213898730299</v>
      </c>
      <c r="Y26" s="48">
        <f t="shared" si="4"/>
        <v>-950.81715106019965</v>
      </c>
      <c r="Z26" s="48">
        <f t="shared" si="4"/>
        <v>-1057.2084229781763</v>
      </c>
      <c r="AA26" s="48">
        <f t="shared" si="4"/>
        <v>-1176.2459047525135</v>
      </c>
      <c r="AB26" s="48">
        <f t="shared" si="4"/>
        <v>-1305.5755756653271</v>
      </c>
      <c r="AC26" s="48">
        <f t="shared" si="4"/>
        <v>-1449.5751229889647</v>
      </c>
      <c r="AD26" s="48">
        <f t="shared" si="4"/>
        <v>-1600.0281611142163</v>
      </c>
      <c r="AE26" s="48">
        <f t="shared" si="4"/>
        <v>-1770.1927684490111</v>
      </c>
      <c r="AF26" s="48">
        <f t="shared" si="4"/>
        <v>-2220.764975107697</v>
      </c>
      <c r="AG26"/>
    </row>
    <row r="27" spans="1:33">
      <c r="A27" s="48" t="s">
        <v>58</v>
      </c>
      <c r="B27"/>
      <c r="C27" s="392">
        <f t="shared" ref="C27:AF27" si="5">C24*(C23-B41)/(C41-B41)*$E$64</f>
        <v>1618.0572686644362</v>
      </c>
      <c r="D27" s="392">
        <f t="shared" si="5"/>
        <v>1599.0166985942217</v>
      </c>
      <c r="E27" s="392">
        <f t="shared" si="5"/>
        <v>1591.9057560328924</v>
      </c>
      <c r="F27" s="392">
        <f t="shared" si="5"/>
        <v>1541.5101567904292</v>
      </c>
      <c r="G27" s="392">
        <f t="shared" si="5"/>
        <v>1485.2427531612398</v>
      </c>
      <c r="H27" s="392">
        <f t="shared" si="5"/>
        <v>1419.0369464709256</v>
      </c>
      <c r="I27" s="392">
        <f t="shared" si="5"/>
        <v>1356.1173530756032</v>
      </c>
      <c r="J27" s="392">
        <f t="shared" si="5"/>
        <v>1262.6239705361752</v>
      </c>
      <c r="K27" s="392">
        <f t="shared" si="5"/>
        <v>1168.1283988057335</v>
      </c>
      <c r="L27" s="392">
        <f t="shared" si="5"/>
        <v>1062.3965216655802</v>
      </c>
      <c r="M27" s="392">
        <f t="shared" si="5"/>
        <v>950.04410813123548</v>
      </c>
      <c r="N27" s="392">
        <f t="shared" si="5"/>
        <v>808.65960776639542</v>
      </c>
      <c r="O27" s="392">
        <f t="shared" si="5"/>
        <v>658.22666389934989</v>
      </c>
      <c r="P27" s="392">
        <f t="shared" si="5"/>
        <v>491.56672576639261</v>
      </c>
      <c r="Q27" s="392">
        <f t="shared" si="5"/>
        <v>311.11653612221852</v>
      </c>
      <c r="R27" s="392">
        <f t="shared" si="5"/>
        <v>107.81017868509903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7.0543960367964988</v>
      </c>
      <c r="Y27" s="392">
        <f t="shared" si="5"/>
        <v>44.257248340133486</v>
      </c>
      <c r="Z27" s="392">
        <f t="shared" si="5"/>
        <v>85.048955884573999</v>
      </c>
      <c r="AA27" s="392">
        <f t="shared" si="5"/>
        <v>130.8367287847681</v>
      </c>
      <c r="AB27" s="392">
        <f t="shared" si="5"/>
        <v>181.78297753342954</v>
      </c>
      <c r="AC27" s="392">
        <f t="shared" si="5"/>
        <v>240.30009975542649</v>
      </c>
      <c r="AD27" s="392">
        <f t="shared" si="5"/>
        <v>301.0692598528683</v>
      </c>
      <c r="AE27" s="392">
        <f t="shared" si="5"/>
        <v>370.41671088065345</v>
      </c>
      <c r="AF27" s="392">
        <f t="shared" si="5"/>
        <v>447.12873997347106</v>
      </c>
      <c r="AG27"/>
    </row>
    <row r="28" spans="1:33">
      <c r="A28" s="48" t="s">
        <v>59</v>
      </c>
      <c r="B28"/>
      <c r="C28" s="163">
        <f t="shared" ref="C28:AF28" si="6">MAX(C24+C25+B44+C27-0.5*C13,0)</f>
        <v>75903.939447650235</v>
      </c>
      <c r="D28" s="163">
        <f t="shared" si="6"/>
        <v>74981.614284221025</v>
      </c>
      <c r="E28" s="163">
        <f t="shared" si="6"/>
        <v>73643.986238012702</v>
      </c>
      <c r="F28" s="163">
        <f t="shared" si="6"/>
        <v>71430.711602635434</v>
      </c>
      <c r="G28" s="163">
        <f t="shared" si="6"/>
        <v>68548.329109055805</v>
      </c>
      <c r="H28" s="163">
        <f t="shared" si="6"/>
        <v>65244.845471634828</v>
      </c>
      <c r="I28" s="163">
        <f t="shared" si="6"/>
        <v>61567.910502275037</v>
      </c>
      <c r="J28" s="163">
        <f t="shared" si="6"/>
        <v>57389.334796346651</v>
      </c>
      <c r="K28" s="163">
        <f t="shared" si="6"/>
        <v>52672.886199325825</v>
      </c>
      <c r="L28" s="163">
        <f t="shared" si="6"/>
        <v>47352.136659026139</v>
      </c>
      <c r="M28" s="163">
        <f t="shared" si="6"/>
        <v>41378.913837953725</v>
      </c>
      <c r="N28" s="163">
        <f t="shared" si="6"/>
        <v>34678.412122460926</v>
      </c>
      <c r="O28" s="163">
        <f t="shared" si="6"/>
        <v>27206.784713603338</v>
      </c>
      <c r="P28" s="163">
        <f t="shared" si="6"/>
        <v>18966.088892266889</v>
      </c>
      <c r="Q28" s="163">
        <f t="shared" si="6"/>
        <v>9923.2613682768351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162.96921036252337</v>
      </c>
      <c r="X28" s="163">
        <f t="shared" si="6"/>
        <v>1183.955727019717</v>
      </c>
      <c r="Y28" s="163">
        <f t="shared" si="6"/>
        <v>3022.1922012505902</v>
      </c>
      <c r="Z28" s="163">
        <f t="shared" si="6"/>
        <v>5070.5075694383586</v>
      </c>
      <c r="AA28" s="163">
        <f t="shared" si="6"/>
        <v>7350.1833328637413</v>
      </c>
      <c r="AB28" s="163">
        <f t="shared" si="6"/>
        <v>9883.5699906235404</v>
      </c>
      <c r="AC28" s="163">
        <f t="shared" si="6"/>
        <v>12696.357285455217</v>
      </c>
      <c r="AD28" s="163">
        <f t="shared" si="6"/>
        <v>15806.916311895979</v>
      </c>
      <c r="AE28" s="163">
        <f t="shared" si="6"/>
        <v>19249.455789966592</v>
      </c>
      <c r="AF28" s="163">
        <f t="shared" si="6"/>
        <v>23319.923357824817</v>
      </c>
      <c r="AG28"/>
    </row>
    <row r="29" spans="1:33">
      <c r="A29" s="48" t="s">
        <v>335</v>
      </c>
      <c r="B29"/>
      <c r="C29" s="163">
        <f>(C23-B41)/(C41-B41)*IS!D32+(B41-B32)/(B41-Assumptions!H17)*IS!C32</f>
        <v>4780.0618508406478</v>
      </c>
      <c r="D29" s="163">
        <f>(D23-C41)/(D41-C41)*IS!E32+(C41-C32)/(C41-B41)*IS!D32</f>
        <v>4763.6290937017129</v>
      </c>
      <c r="E29" s="163">
        <f>(E23-D41)/(E41-D41)*IS!F32+(D41-D32)/(D41-C41)*IS!E32</f>
        <v>5089.9562042502794</v>
      </c>
      <c r="F29" s="163">
        <f>(F23-E41)/(F41-E41)*IS!G32+(E41-E32)/(E41-D41)*IS!F32</f>
        <v>5581.9268892716909</v>
      </c>
      <c r="G29" s="163">
        <f>(G23-F41)/(G41-F41)*IS!H32+(F41-F32)/(F41-E41)*IS!G32</f>
        <v>5828.7321516529928</v>
      </c>
      <c r="H29" s="163">
        <f>(H23-G41)/(H41-G41)*IS!I32+(G41-G32)/(G41-F41)*IS!H32</f>
        <v>5889.9783531225385</v>
      </c>
      <c r="I29" s="163">
        <f>(I23-H41)/(I41-H41)*IS!J32+(H41-H32)/(H41-G41)*IS!I32</f>
        <v>5974.2112339591258</v>
      </c>
      <c r="J29" s="163">
        <f>(J23-I41)/(J41-I41)*IS!K32+(I41-I32)/(I41-H41)*IS!J32</f>
        <v>6061.1363350175925</v>
      </c>
      <c r="K29" s="163">
        <f>(K23-J41)/(K41-J41)*IS!L32+(J41-J32)/(J41-I41)*IS!K32</f>
        <v>6188.9276744304343</v>
      </c>
      <c r="L29" s="163">
        <f>(L23-K41)/(L41-K41)*IS!M32+(K41-K32)/(K41-J41)*IS!L32</f>
        <v>6312.1396570389816</v>
      </c>
      <c r="M29" s="163">
        <f>(M23-L41)/(M41-L41)*IS!N32+(L41-L32)/(L41-K41)*IS!M32</f>
        <v>6461.7612191095195</v>
      </c>
      <c r="N29" s="163">
        <f>(N23-M41)/(N41-M41)*IS!O32+(M41-M32)/(M41-L41)*IS!N32</f>
        <v>6553.0623101547744</v>
      </c>
      <c r="O29" s="163">
        <f>(O23-N41)/(O41-N41)*IS!P32+(N41-N32)/(N41-M41)*IS!O32</f>
        <v>6688.3042761599845</v>
      </c>
      <c r="P29" s="163">
        <f>(P23-O41)/(P41-O41)*IS!Q32+(O41-O32)/(O41-N41)*IS!P32</f>
        <v>6744.7068204453153</v>
      </c>
      <c r="Q29" s="163">
        <f>(Q23-P41)/(Q41-P41)*IS!R32+(P41-P32)/(P41-O41)*IS!Q32</f>
        <v>6826.510050352992</v>
      </c>
      <c r="R29" s="163">
        <f>(R23-Q41)/(R41-Q41)*IS!S32+(Q41-Q32)/(Q41-P41)*IS!R32</f>
        <v>6851.6812507744671</v>
      </c>
      <c r="S29" s="163">
        <f>(S23-R41)/(S41-R41)*IS!T32+(R41-R32)/(R41-Q41)*IS!S32</f>
        <v>6928.8373005468375</v>
      </c>
      <c r="T29" s="163">
        <f>(T23-S41)/(T41-S41)*IS!U32+(S41-S32)/(S41-R41)*IS!T32</f>
        <v>6981.6162083985419</v>
      </c>
      <c r="U29" s="163">
        <f>(U23-T41)/(U41-T41)*IS!V32+(T41-T32)/(T41-S41)*IS!U32</f>
        <v>7051.4122173285441</v>
      </c>
      <c r="V29" s="163">
        <f>(V23-U41)/(V41-U41)*IS!W32+(U41-U32)/(U41-T41)*IS!V32</f>
        <v>4685.217933242242</v>
      </c>
      <c r="W29" s="163">
        <f>(W23-V41)/(W41-V41)*IS!X32+(V41-V32)/(V41-U41)*IS!W32</f>
        <v>643.28385902052662</v>
      </c>
      <c r="X29" s="163">
        <f>(X23-W41)/(X41-W41)*IS!Y32+(W41-W32)/(W41-V41)*IS!X32</f>
        <v>-1077.0907818336668</v>
      </c>
      <c r="Y29" s="163">
        <f>(Y23-X41)/(Y41-X41)*IS!Z32+(X41-X32)/(X41-W41)*IS!Y32</f>
        <v>-1114.034334942331</v>
      </c>
      <c r="Z29" s="163">
        <f>(Z23-Y41)/(Z41-Y41)*IS!AA32+(Y41-Y32)/(Y41-X41)*IS!Z32</f>
        <v>-1141.1476341755031</v>
      </c>
      <c r="AA29" s="163">
        <f>(AA23-Z41)/(AA41-Z41)*IS!AB32+(Z41-Z32)/(Z41-Y41)*IS!AA32</f>
        <v>-1176.9661787607574</v>
      </c>
      <c r="AB29" s="163">
        <f>(AB23-AA41)/(AB41-AA41)*IS!AC32+(AA41-AA32)/(AA41-Z41)*IS!AB32</f>
        <v>-1212.27516412358</v>
      </c>
      <c r="AC29" s="163">
        <f>(AC23-AB41)/(AC41-AB41)*IS!AD32+(AB41-AB32)/(AB41-AA41)*IS!AC32</f>
        <v>-1253.8554586200853</v>
      </c>
      <c r="AD29" s="163">
        <f>(AD23-AC41)/(AD41-AC41)*IS!AE32+(AC41-AC32)/(AC41-AB41)*IS!AD32</f>
        <v>-1284.371715775186</v>
      </c>
      <c r="AE29" s="163">
        <f>(AE23-AD41)/(AE41-AD41)*IS!AF32+(AD41-AD32)/(AD41-AC41)*IS!AE32</f>
        <v>-1324.6858032672671</v>
      </c>
      <c r="AF29" s="163">
        <f>(AF23-AE41)/(AG23-AE41)*IS!AG32+(AE41-AE32)/(AE41-AD41)*IS!AF32</f>
        <v>-2760.4595864987123</v>
      </c>
      <c r="AG29"/>
    </row>
    <row r="30" spans="1:33">
      <c r="A30" s="412" t="s">
        <v>0</v>
      </c>
      <c r="B30" s="414"/>
      <c r="C30" s="413">
        <f>IF(C28&gt;0.1,C29/(C27+C26+B44)," ")</f>
        <v>1.2974752975893693</v>
      </c>
      <c r="D30" s="413">
        <f t="shared" ref="D30:AF30" si="7">IF(D28&gt;0.1,D29/(D27+D26+C44)," ")</f>
        <v>1.2976420283392502</v>
      </c>
      <c r="E30" s="413">
        <f t="shared" si="7"/>
        <v>1.2621047821700142</v>
      </c>
      <c r="F30" s="413">
        <f t="shared" si="7"/>
        <v>1.2717871823296472</v>
      </c>
      <c r="G30" s="413">
        <f t="shared" si="7"/>
        <v>1.2929898493680245</v>
      </c>
      <c r="H30" s="413">
        <f t="shared" si="7"/>
        <v>1.2931097811597758</v>
      </c>
      <c r="I30" s="413">
        <f t="shared" si="7"/>
        <v>1.2976941291555162</v>
      </c>
      <c r="J30" s="413">
        <f t="shared" si="7"/>
        <v>1.2859652535719439</v>
      </c>
      <c r="K30" s="413">
        <f t="shared" si="7"/>
        <v>1.293364696830436</v>
      </c>
      <c r="L30" s="413">
        <f t="shared" si="7"/>
        <v>1.2868429255493377</v>
      </c>
      <c r="M30" s="413">
        <f t="shared" si="7"/>
        <v>1.2979588087068576</v>
      </c>
      <c r="N30" s="413">
        <f t="shared" si="7"/>
        <v>1.285969949906324</v>
      </c>
      <c r="O30" s="413">
        <f t="shared" si="7"/>
        <v>1.2936412924651488</v>
      </c>
      <c r="P30" s="413">
        <f t="shared" si="7"/>
        <v>1.2937878786065082</v>
      </c>
      <c r="Q30" s="413">
        <f t="shared" si="7"/>
        <v>1.2983976969021083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-3.9472723564748713</v>
      </c>
      <c r="X30" s="413">
        <f t="shared" si="7"/>
        <v>1.2869031670328492</v>
      </c>
      <c r="Y30" s="413">
        <f t="shared" si="7"/>
        <v>1.2913887949024172</v>
      </c>
      <c r="Z30" s="413">
        <f t="shared" si="7"/>
        <v>1.2860278173685964</v>
      </c>
      <c r="AA30" s="413">
        <f t="shared" si="7"/>
        <v>1.2869031670328501</v>
      </c>
      <c r="AB30" s="413">
        <f t="shared" si="7"/>
        <v>1.2869031670328481</v>
      </c>
      <c r="AC30" s="413">
        <f t="shared" si="7"/>
        <v>1.2913887949024176</v>
      </c>
      <c r="AD30" s="413">
        <f t="shared" si="7"/>
        <v>1.2860278173685986</v>
      </c>
      <c r="AE30" s="413">
        <f t="shared" si="7"/>
        <v>1.2869031670328455</v>
      </c>
      <c r="AF30" s="413">
        <f t="shared" si="7"/>
        <v>2.0809981071114731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76645.682528245845</v>
      </c>
      <c r="C33" s="48">
        <f>C28</f>
        <v>75903.939447650235</v>
      </c>
      <c r="D33" s="48">
        <f t="shared" ref="D33:AF33" si="8">D28</f>
        <v>74981.614284221025</v>
      </c>
      <c r="E33" s="48">
        <f t="shared" si="8"/>
        <v>73643.986238012702</v>
      </c>
      <c r="F33" s="48">
        <f t="shared" si="8"/>
        <v>71430.711602635434</v>
      </c>
      <c r="G33" s="48">
        <f t="shared" si="8"/>
        <v>68548.329109055805</v>
      </c>
      <c r="H33" s="48">
        <f t="shared" si="8"/>
        <v>65244.845471634828</v>
      </c>
      <c r="I33" s="48">
        <f t="shared" si="8"/>
        <v>61567.910502275037</v>
      </c>
      <c r="J33" s="48">
        <f t="shared" si="8"/>
        <v>57389.334796346651</v>
      </c>
      <c r="K33" s="48">
        <f t="shared" si="8"/>
        <v>52672.886199325825</v>
      </c>
      <c r="L33" s="48">
        <f t="shared" si="8"/>
        <v>47352.136659026139</v>
      </c>
      <c r="M33" s="48">
        <f t="shared" si="8"/>
        <v>41378.913837953725</v>
      </c>
      <c r="N33" s="48">
        <f t="shared" si="8"/>
        <v>34678.412122460926</v>
      </c>
      <c r="O33" s="48">
        <f t="shared" si="8"/>
        <v>27206.784713603338</v>
      </c>
      <c r="P33" s="48">
        <f t="shared" si="8"/>
        <v>18966.088892266889</v>
      </c>
      <c r="Q33" s="48">
        <f t="shared" si="8"/>
        <v>9923.2613682768351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162.96921036252337</v>
      </c>
      <c r="X33" s="48">
        <f t="shared" si="8"/>
        <v>1183.955727019717</v>
      </c>
      <c r="Y33" s="48">
        <f t="shared" si="8"/>
        <v>3022.1922012505902</v>
      </c>
      <c r="Z33" s="48">
        <f t="shared" si="8"/>
        <v>5070.5075694383586</v>
      </c>
      <c r="AA33" s="48">
        <f t="shared" si="8"/>
        <v>7350.1833328637413</v>
      </c>
      <c r="AB33" s="48">
        <f t="shared" si="8"/>
        <v>9883.5699906235404</v>
      </c>
      <c r="AC33" s="48">
        <f t="shared" si="8"/>
        <v>12696.357285455217</v>
      </c>
      <c r="AD33" s="48">
        <f t="shared" si="8"/>
        <v>15806.916311895979</v>
      </c>
      <c r="AE33" s="48">
        <f t="shared" si="8"/>
        <v>19249.455789966592</v>
      </c>
      <c r="AF33" s="48">
        <f t="shared" si="8"/>
        <v>23319.923357824817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292.62460161116906</v>
      </c>
      <c r="C35" s="48">
        <f>C33-C37</f>
        <v>449.36996001082298</v>
      </c>
      <c r="D35" s="48">
        <f t="shared" ref="D35:AF35" si="9">D33-D37</f>
        <v>475.53925761762366</v>
      </c>
      <c r="E35" s="48">
        <f t="shared" si="9"/>
        <v>903.04154137319711</v>
      </c>
      <c r="F35" s="48">
        <f t="shared" si="9"/>
        <v>1344.9191134495923</v>
      </c>
      <c r="G35" s="48">
        <f t="shared" si="9"/>
        <v>1586.6632445583527</v>
      </c>
      <c r="H35" s="48">
        <f t="shared" si="9"/>
        <v>1774.3913507050747</v>
      </c>
      <c r="I35" s="48">
        <f t="shared" si="9"/>
        <v>1987.0767277819614</v>
      </c>
      <c r="J35" s="48">
        <f t="shared" si="9"/>
        <v>2267.5680782997588</v>
      </c>
      <c r="K35" s="48">
        <f t="shared" si="9"/>
        <v>2540.4065085777038</v>
      </c>
      <c r="L35" s="48">
        <f t="shared" si="9"/>
        <v>2887.1566620910817</v>
      </c>
      <c r="M35" s="48">
        <f t="shared" si="9"/>
        <v>3219.7985393455456</v>
      </c>
      <c r="N35" s="48">
        <f t="shared" si="9"/>
        <v>3617.9425266932885</v>
      </c>
      <c r="O35" s="48">
        <f t="shared" si="9"/>
        <v>4010.6819463462853</v>
      </c>
      <c r="P35" s="48">
        <f t="shared" si="9"/>
        <v>4404.8801683881211</v>
      </c>
      <c r="Q35" s="48">
        <f t="shared" si="9"/>
        <v>4835.9032273510247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-169.9143776698906</v>
      </c>
      <c r="X35" s="48">
        <f t="shared" si="9"/>
        <v>-887.41932317067358</v>
      </c>
      <c r="Y35" s="48">
        <f t="shared" si="9"/>
        <v>-991.10694520959214</v>
      </c>
      <c r="Z35" s="48">
        <f t="shared" si="9"/>
        <v>-1103.4298586728692</v>
      </c>
      <c r="AA35" s="48">
        <f t="shared" si="9"/>
        <v>-1227.8110820944721</v>
      </c>
      <c r="AB35" s="48">
        <f t="shared" si="9"/>
        <v>-1363.2121718427115</v>
      </c>
      <c r="AC35" s="48">
        <f t="shared" si="9"/>
        <v>-1510.5308653265456</v>
      </c>
      <c r="AD35" s="48">
        <f t="shared" si="9"/>
        <v>-1672.3467096216027</v>
      </c>
      <c r="AE35" s="48">
        <f t="shared" si="9"/>
        <v>-1849.7025927505274</v>
      </c>
      <c r="AF35" s="48">
        <f t="shared" si="9"/>
        <v>-1489.4275076606245</v>
      </c>
      <c r="AG35"/>
    </row>
    <row r="36" spans="1:39">
      <c r="A36" s="48" t="s">
        <v>58</v>
      </c>
      <c r="B36" s="392">
        <f>B33*(B32-Assumptions!H17)/365.25*$E$64</f>
        <v>2176.0868660312376</v>
      </c>
      <c r="C36" s="392">
        <f t="shared" ref="C36:AF36" si="10">C33*(C32-C23)/(C41-B41)*$E$64</f>
        <v>3234.755556460821</v>
      </c>
      <c r="D36" s="392">
        <f t="shared" si="10"/>
        <v>3195.4493429892</v>
      </c>
      <c r="E36" s="392">
        <f t="shared" si="10"/>
        <v>3129.8694151155401</v>
      </c>
      <c r="F36" s="392">
        <f t="shared" si="10"/>
        <v>3044.1225177506694</v>
      </c>
      <c r="G36" s="392">
        <f t="shared" si="10"/>
        <v>2921.285641894146</v>
      </c>
      <c r="H36" s="392">
        <f t="shared" si="10"/>
        <v>2780.5029350993968</v>
      </c>
      <c r="I36" s="392">
        <f t="shared" si="10"/>
        <v>2616.6361963466893</v>
      </c>
      <c r="J36" s="392">
        <f t="shared" si="10"/>
        <v>2445.7290486497868</v>
      </c>
      <c r="K36" s="392">
        <f t="shared" si="10"/>
        <v>2244.7308077548305</v>
      </c>
      <c r="L36" s="392">
        <f t="shared" si="10"/>
        <v>2017.9794129620593</v>
      </c>
      <c r="M36" s="392">
        <f t="shared" si="10"/>
        <v>1758.6038381130334</v>
      </c>
      <c r="N36" s="392">
        <f t="shared" si="10"/>
        <v>1477.8704125065199</v>
      </c>
      <c r="O36" s="392">
        <f t="shared" si="10"/>
        <v>1159.4562636167122</v>
      </c>
      <c r="P36" s="392">
        <f t="shared" si="10"/>
        <v>808.26715813482599</v>
      </c>
      <c r="Q36" s="392">
        <f t="shared" si="10"/>
        <v>421.7386081517655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6.9451673073672628</v>
      </c>
      <c r="X36" s="392">
        <f t="shared" si="10"/>
        <v>50.455976256963559</v>
      </c>
      <c r="Y36" s="392">
        <f t="shared" si="10"/>
        <v>128.44316855315009</v>
      </c>
      <c r="Z36" s="392">
        <f t="shared" si="10"/>
        <v>216.0869732674347</v>
      </c>
      <c r="AA36" s="392">
        <f t="shared" si="10"/>
        <v>313.23863491149456</v>
      </c>
      <c r="AB36" s="392">
        <f t="shared" si="10"/>
        <v>421.20255124424438</v>
      </c>
      <c r="AC36" s="392">
        <f t="shared" si="10"/>
        <v>539.59518463184679</v>
      </c>
      <c r="AD36" s="392">
        <f t="shared" si="10"/>
        <v>673.63447460696432</v>
      </c>
      <c r="AE36" s="392">
        <f t="shared" si="10"/>
        <v>820.34324606282291</v>
      </c>
      <c r="AF36" s="392">
        <f t="shared" si="10"/>
        <v>162.92001249987203</v>
      </c>
      <c r="AG36"/>
    </row>
    <row r="37" spans="1:39">
      <c r="A37" s="48" t="s">
        <v>59</v>
      </c>
      <c r="B37" s="163">
        <f>MAX(B33+B34+B36-B13,0)</f>
        <v>76353.057926634676</v>
      </c>
      <c r="C37" s="163">
        <f>MAX(C33+C34+C36-0.5*C13,0)</f>
        <v>75454.569487639412</v>
      </c>
      <c r="D37" s="163">
        <f t="shared" ref="D37:AF37" si="11">MAX(D33+D34+D36-0.5*D13,0)</f>
        <v>74506.075026603401</v>
      </c>
      <c r="E37" s="163">
        <f t="shared" si="11"/>
        <v>72740.944696639504</v>
      </c>
      <c r="F37" s="163">
        <f t="shared" si="11"/>
        <v>70085.792489185842</v>
      </c>
      <c r="G37" s="163">
        <f t="shared" si="11"/>
        <v>66961.665864497452</v>
      </c>
      <c r="H37" s="163">
        <f t="shared" si="11"/>
        <v>63470.454120929753</v>
      </c>
      <c r="I37" s="163">
        <f t="shared" si="11"/>
        <v>59580.833774493076</v>
      </c>
      <c r="J37" s="163">
        <f t="shared" si="11"/>
        <v>55121.766718046892</v>
      </c>
      <c r="K37" s="163">
        <f t="shared" si="11"/>
        <v>50132.479690748121</v>
      </c>
      <c r="L37" s="163">
        <f t="shared" si="11"/>
        <v>44464.979996935057</v>
      </c>
      <c r="M37" s="163">
        <f t="shared" si="11"/>
        <v>38159.11529860818</v>
      </c>
      <c r="N37" s="163">
        <f t="shared" si="11"/>
        <v>31060.469595767638</v>
      </c>
      <c r="O37" s="163">
        <f t="shared" si="11"/>
        <v>23196.102767257053</v>
      </c>
      <c r="P37" s="163">
        <f t="shared" si="11"/>
        <v>14561.208723878768</v>
      </c>
      <c r="Q37" s="163">
        <f t="shared" si="11"/>
        <v>5087.3581409258104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332.88358803241397</v>
      </c>
      <c r="X37" s="163">
        <f t="shared" si="11"/>
        <v>2071.3750501903905</v>
      </c>
      <c r="Y37" s="163">
        <f t="shared" si="11"/>
        <v>4013.2991464601823</v>
      </c>
      <c r="Z37" s="163">
        <f t="shared" si="11"/>
        <v>6173.9374281112277</v>
      </c>
      <c r="AA37" s="163">
        <f t="shared" si="11"/>
        <v>8577.9944149582134</v>
      </c>
      <c r="AB37" s="163">
        <f t="shared" si="11"/>
        <v>11246.782162466252</v>
      </c>
      <c r="AC37" s="163">
        <f t="shared" si="11"/>
        <v>14206.888150781762</v>
      </c>
      <c r="AD37" s="163">
        <f t="shared" si="11"/>
        <v>17479.263021517581</v>
      </c>
      <c r="AE37" s="163">
        <f t="shared" si="11"/>
        <v>21099.15838271712</v>
      </c>
      <c r="AF37" s="163">
        <f t="shared" si="11"/>
        <v>24809.350865485441</v>
      </c>
      <c r="AG37"/>
    </row>
    <row r="38" spans="1:39">
      <c r="A38" s="48" t="s">
        <v>335</v>
      </c>
      <c r="B38" s="163">
        <f>(B32-Assumptions!H17)/(Debt!B41-Assumptions!H17)*IS!C32</f>
        <v>3209.3249079351326</v>
      </c>
      <c r="C38" s="163">
        <f>(C32-C23)/(C41-B41)*IS!D32</f>
        <v>4798.664491985639</v>
      </c>
      <c r="D38" s="163">
        <f>(D32-D23)/(D41-C41)*IS!E32</f>
        <v>4780.94126787605</v>
      </c>
      <c r="E38" s="163">
        <f>(E32-E23)/(E41-D41)*IS!F32</f>
        <v>5395.6122826204419</v>
      </c>
      <c r="F38" s="163">
        <f>(F32-F23)/(F41-E41)*IS!G32</f>
        <v>5829.5813518490031</v>
      </c>
      <c r="G38" s="163">
        <f>(G32-G23)/(G41-F41)*IS!H32</f>
        <v>5891.9349531235002</v>
      </c>
      <c r="H38" s="163">
        <f>(H32-H23)/(H41-G41)*IS!I32</f>
        <v>5952.7467899690791</v>
      </c>
      <c r="I38" s="163">
        <f>(I32-I23)/(I41-H41)*IS!J32</f>
        <v>5995.442368775367</v>
      </c>
      <c r="J38" s="163">
        <f>(J32-J23)/(J41-I41)*IS!K32</f>
        <v>6193.4361950512221</v>
      </c>
      <c r="K38" s="163">
        <f>(K32-K23)/(K41-J41)*IS!L32</f>
        <v>6252.4293480341585</v>
      </c>
      <c r="L38" s="163">
        <f>(L32-L23)/(L41-K41)*IS!M32</f>
        <v>6441.2141380991798</v>
      </c>
      <c r="M38" s="163">
        <f>(M32-M23)/(M41-L41)*IS!N32</f>
        <v>6482.08496228279</v>
      </c>
      <c r="N38" s="163">
        <f>(N32-N23)/(N41-M41)*IS!O32</f>
        <v>6696.0513317647246</v>
      </c>
      <c r="O38" s="163">
        <f>(O32-O23)/(O41-N41)*IS!P32</f>
        <v>6754.0550697438157</v>
      </c>
      <c r="P38" s="163">
        <f>(P32-P23)/(P41-O41)*IS!Q32</f>
        <v>6809.476228514347</v>
      </c>
      <c r="Q38" s="163">
        <f>(Q32-Q23)/(Q41-P41)*IS!R32</f>
        <v>6843.3587219542615</v>
      </c>
      <c r="R38" s="163">
        <f>(R32-R23)/(R41-Q41)*IS!S32</f>
        <v>6935.2969801526333</v>
      </c>
      <c r="S38" s="163">
        <f>(S32-S23)/(S41-R41)*IS!T32</f>
        <v>6998.5186901778206</v>
      </c>
      <c r="T38" s="163">
        <f>(T32-T23)/(T41-S41)*IS!U32</f>
        <v>7041.4347838544145</v>
      </c>
      <c r="U38" s="163">
        <f>(U32-U23)/(U41-T41)*IS!V32</f>
        <v>7061.2812004388252</v>
      </c>
      <c r="V38" s="163">
        <f>(V32-V23)/(V41-U41)*IS!W32</f>
        <v>2360.6405773999709</v>
      </c>
      <c r="W38" s="163">
        <f>(W32-W23)/(W41-V41)*IS!X32</f>
        <v>-1067.0038059630874</v>
      </c>
      <c r="X38" s="163">
        <f>(X32-X23)/(X41-W41)*IS!Y32</f>
        <v>-1099.0139201419788</v>
      </c>
      <c r="Y38" s="163">
        <f>(Y32-Y23)/(Y41-X41)*IS!Z32</f>
        <v>-1128.8914843644184</v>
      </c>
      <c r="Z38" s="163">
        <f>(Z32-Z23)/(Z41-Y41)*IS!AA32</f>
        <v>-1165.9438678786264</v>
      </c>
      <c r="AA38" s="163">
        <f>(AA32-AA23)/(AA41-Z41)*IS!AB32</f>
        <v>-1200.9221839149852</v>
      </c>
      <c r="AB38" s="163">
        <f>(AB32-AB23)/(AB41-AA41)*IS!AC32</f>
        <v>-1236.9498494324343</v>
      </c>
      <c r="AC38" s="163">
        <f>(AC32-AC23)/(AC41-AB41)*IS!AD32</f>
        <v>-1270.5773111861313</v>
      </c>
      <c r="AD38" s="163">
        <f>(AD32-AD23)/(AD41-AC41)*IS!AE32</f>
        <v>-1312.2800952628693</v>
      </c>
      <c r="AE38" s="163">
        <f>(AE32-AE23)/(AE41-AD41)*IS!AF32</f>
        <v>-1351.6484981207561</v>
      </c>
      <c r="AF38" s="163">
        <f>(AF32-AF23)/(AG23-AE41)*IS!AG32</f>
        <v>-688.45990091924966</v>
      </c>
      <c r="AG38"/>
    </row>
    <row r="39" spans="1:39">
      <c r="A39" s="412" t="s">
        <v>0</v>
      </c>
      <c r="B39" s="413">
        <f t="shared" ref="B39:AF39" si="12">IF(B37&gt;0.1,B38/(B36+B35)," ")</f>
        <v>1.3000000000000016</v>
      </c>
      <c r="C39" s="413">
        <f t="shared" si="12"/>
        <v>1.3025247024106306</v>
      </c>
      <c r="D39" s="413">
        <f t="shared" si="12"/>
        <v>1.3023579716607534</v>
      </c>
      <c r="E39" s="413">
        <f t="shared" si="12"/>
        <v>1.3378952178299874</v>
      </c>
      <c r="F39" s="413">
        <f t="shared" si="12"/>
        <v>1.3282128176703578</v>
      </c>
      <c r="G39" s="413">
        <f t="shared" si="12"/>
        <v>1.3070101506319696</v>
      </c>
      <c r="H39" s="413">
        <f t="shared" si="12"/>
        <v>1.3068902188402212</v>
      </c>
      <c r="I39" s="413">
        <f t="shared" si="12"/>
        <v>1.3023058708444837</v>
      </c>
      <c r="J39" s="413">
        <f t="shared" si="12"/>
        <v>1.3140347464280542</v>
      </c>
      <c r="K39" s="413">
        <f t="shared" si="12"/>
        <v>1.3066353031695648</v>
      </c>
      <c r="L39" s="413">
        <f t="shared" si="12"/>
        <v>1.3131570744506609</v>
      </c>
      <c r="M39" s="413">
        <f t="shared" si="12"/>
        <v>1.3020411912931444</v>
      </c>
      <c r="N39" s="413">
        <f t="shared" si="12"/>
        <v>1.3140300500936757</v>
      </c>
      <c r="O39" s="413">
        <f t="shared" si="12"/>
        <v>1.3063587075348522</v>
      </c>
      <c r="P39" s="413">
        <f t="shared" si="12"/>
        <v>1.3062121213934914</v>
      </c>
      <c r="Q39" s="413">
        <f t="shared" si="12"/>
        <v>1.3016023030978923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6.5472723564748723</v>
      </c>
      <c r="X39" s="413">
        <f t="shared" si="12"/>
        <v>1.3130968329671502</v>
      </c>
      <c r="Y39" s="413">
        <f t="shared" si="12"/>
        <v>1.3086112050975827</v>
      </c>
      <c r="Z39" s="413">
        <f t="shared" si="12"/>
        <v>1.3139721826314039</v>
      </c>
      <c r="AA39" s="413">
        <f t="shared" si="12"/>
        <v>1.3130968329671513</v>
      </c>
      <c r="AB39" s="413">
        <f t="shared" si="12"/>
        <v>1.3130968329671506</v>
      </c>
      <c r="AC39" s="413">
        <f t="shared" si="12"/>
        <v>1.3086112050975824</v>
      </c>
      <c r="AD39" s="413">
        <f t="shared" si="12"/>
        <v>1.3139721826314013</v>
      </c>
      <c r="AE39" s="413">
        <f t="shared" si="12"/>
        <v>1.3130968329671466</v>
      </c>
      <c r="AF39" s="413">
        <f t="shared" si="12"/>
        <v>0.51900189288852738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76353.057926634676</v>
      </c>
      <c r="C42" s="48">
        <f>C37</f>
        <v>75454.569487639412</v>
      </c>
      <c r="D42" s="48">
        <f t="shared" ref="D42:AF42" si="14">D37</f>
        <v>74506.075026603401</v>
      </c>
      <c r="E42" s="48">
        <f t="shared" si="14"/>
        <v>72740.944696639504</v>
      </c>
      <c r="F42" s="48">
        <f t="shared" si="14"/>
        <v>70085.792489185842</v>
      </c>
      <c r="G42" s="48">
        <f t="shared" si="14"/>
        <v>66961.665864497452</v>
      </c>
      <c r="H42" s="48">
        <f t="shared" si="14"/>
        <v>63470.454120929753</v>
      </c>
      <c r="I42" s="48">
        <f t="shared" si="14"/>
        <v>59580.833774493076</v>
      </c>
      <c r="J42" s="48">
        <f t="shared" si="14"/>
        <v>55121.766718046892</v>
      </c>
      <c r="K42" s="48">
        <f t="shared" si="14"/>
        <v>50132.479690748121</v>
      </c>
      <c r="L42" s="48">
        <f t="shared" si="14"/>
        <v>44464.979996935057</v>
      </c>
      <c r="M42" s="48">
        <f t="shared" si="14"/>
        <v>38159.11529860818</v>
      </c>
      <c r="N42" s="48">
        <f t="shared" si="14"/>
        <v>31060.469595767638</v>
      </c>
      <c r="O42" s="48">
        <f t="shared" si="14"/>
        <v>23196.102767257053</v>
      </c>
      <c r="P42" s="48">
        <f t="shared" si="14"/>
        <v>14561.208723878768</v>
      </c>
      <c r="Q42" s="48">
        <f t="shared" si="14"/>
        <v>5087.3581409258104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332.88358803241397</v>
      </c>
      <c r="X42" s="48">
        <f t="shared" si="14"/>
        <v>2071.3750501903905</v>
      </c>
      <c r="Y42" s="48">
        <f t="shared" si="14"/>
        <v>4013.2991464601823</v>
      </c>
      <c r="Z42" s="48">
        <f t="shared" si="14"/>
        <v>6173.9374281112277</v>
      </c>
      <c r="AA42" s="48">
        <f t="shared" si="14"/>
        <v>8577.9944149582134</v>
      </c>
      <c r="AB42" s="48">
        <f t="shared" si="14"/>
        <v>11246.782162466252</v>
      </c>
      <c r="AC42" s="48">
        <f t="shared" si="14"/>
        <v>14206.888150781762</v>
      </c>
      <c r="AD42" s="48">
        <f t="shared" si="14"/>
        <v>17479.263021517581</v>
      </c>
      <c r="AE42" s="48">
        <f t="shared" si="14"/>
        <v>21099.15838271712</v>
      </c>
      <c r="AF42" s="48">
        <f t="shared" si="14"/>
        <v>24809.350865485441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1616.9497688227768</v>
      </c>
      <c r="C44" s="392">
        <f t="shared" ref="C44:AF44" si="15">C42*(C41-C32)/(C41-B41)*$E$64</f>
        <v>1599.0166985942217</v>
      </c>
      <c r="D44" s="392">
        <f t="shared" si="15"/>
        <v>1578.9164118651436</v>
      </c>
      <c r="E44" s="392">
        <f t="shared" si="15"/>
        <v>1537.2983804057558</v>
      </c>
      <c r="F44" s="392">
        <f t="shared" si="15"/>
        <v>1485.2427531612398</v>
      </c>
      <c r="G44" s="392">
        <f t="shared" si="15"/>
        <v>1419.0369464709256</v>
      </c>
      <c r="H44" s="392">
        <f t="shared" si="15"/>
        <v>1345.0519523983332</v>
      </c>
      <c r="I44" s="392">
        <f t="shared" si="15"/>
        <v>1259.1741782669508</v>
      </c>
      <c r="J44" s="392">
        <f t="shared" si="15"/>
        <v>1168.1283988057335</v>
      </c>
      <c r="K44" s="392">
        <f t="shared" si="15"/>
        <v>1062.3965216655802</v>
      </c>
      <c r="L44" s="392">
        <f t="shared" si="15"/>
        <v>942.29211034600735</v>
      </c>
      <c r="M44" s="392">
        <f t="shared" si="15"/>
        <v>806.4501552861592</v>
      </c>
      <c r="N44" s="392">
        <f t="shared" si="15"/>
        <v>658.22666389934989</v>
      </c>
      <c r="O44" s="392">
        <f t="shared" si="15"/>
        <v>491.56672576639261</v>
      </c>
      <c r="P44" s="392">
        <f t="shared" si="15"/>
        <v>308.57794377863632</v>
      </c>
      <c r="Q44" s="392">
        <f t="shared" si="15"/>
        <v>107.51561535535832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7.0543960367964988</v>
      </c>
      <c r="X44" s="392">
        <f t="shared" si="15"/>
        <v>43.896126063623768</v>
      </c>
      <c r="Y44" s="392">
        <f t="shared" si="15"/>
        <v>84.816581688168071</v>
      </c>
      <c r="Z44" s="392">
        <f t="shared" si="15"/>
        <v>130.8367287847681</v>
      </c>
      <c r="AA44" s="392">
        <f t="shared" si="15"/>
        <v>181.78297753342954</v>
      </c>
      <c r="AB44" s="392">
        <f t="shared" si="15"/>
        <v>238.33934253883962</v>
      </c>
      <c r="AC44" s="392">
        <f t="shared" si="15"/>
        <v>300.24666624671295</v>
      </c>
      <c r="AD44" s="392">
        <f t="shared" si="15"/>
        <v>370.41671088065345</v>
      </c>
      <c r="AE44" s="392">
        <f t="shared" si="15"/>
        <v>447.12873997347106</v>
      </c>
      <c r="AF44" s="392">
        <f t="shared" si="15"/>
        <v>1409.7148957538852</v>
      </c>
    </row>
    <row r="45" spans="1:39">
      <c r="A45" s="48" t="s">
        <v>59</v>
      </c>
      <c r="B45" s="48">
        <f>B42+B43</f>
        <v>76353.057926634676</v>
      </c>
      <c r="C45" s="48">
        <f t="shared" ref="C45:AF45" si="16">C42+C43</f>
        <v>75454.569487639412</v>
      </c>
      <c r="D45" s="48">
        <f t="shared" si="16"/>
        <v>74506.075026603401</v>
      </c>
      <c r="E45" s="48">
        <f t="shared" si="16"/>
        <v>72740.944696639504</v>
      </c>
      <c r="F45" s="48">
        <f t="shared" si="16"/>
        <v>70085.792489185842</v>
      </c>
      <c r="G45" s="48">
        <f t="shared" si="16"/>
        <v>66961.665864497452</v>
      </c>
      <c r="H45" s="48">
        <f t="shared" si="16"/>
        <v>63470.454120929753</v>
      </c>
      <c r="I45" s="48">
        <f t="shared" si="16"/>
        <v>59580.833774493076</v>
      </c>
      <c r="J45" s="48">
        <f t="shared" si="16"/>
        <v>55121.766718046892</v>
      </c>
      <c r="K45" s="48">
        <f t="shared" si="16"/>
        <v>50132.479690748121</v>
      </c>
      <c r="L45" s="48">
        <f t="shared" si="16"/>
        <v>44464.979996935057</v>
      </c>
      <c r="M45" s="48">
        <f t="shared" si="16"/>
        <v>38159.11529860818</v>
      </c>
      <c r="N45" s="48">
        <f t="shared" si="16"/>
        <v>31060.469595767638</v>
      </c>
      <c r="O45" s="48">
        <f t="shared" si="16"/>
        <v>23196.102767257053</v>
      </c>
      <c r="P45" s="48">
        <f t="shared" si="16"/>
        <v>14561.208723878768</v>
      </c>
      <c r="Q45" s="48">
        <f t="shared" si="16"/>
        <v>5087.3581409258104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332.88358803241397</v>
      </c>
      <c r="X45" s="48">
        <f t="shared" si="16"/>
        <v>2071.3750501903905</v>
      </c>
      <c r="Y45" s="48">
        <f t="shared" si="16"/>
        <v>4013.2991464601823</v>
      </c>
      <c r="Z45" s="48">
        <f t="shared" si="16"/>
        <v>6173.9374281112277</v>
      </c>
      <c r="AA45" s="48">
        <f t="shared" si="16"/>
        <v>8577.9944149582134</v>
      </c>
      <c r="AB45" s="48">
        <f t="shared" si="16"/>
        <v>11246.782162466252</v>
      </c>
      <c r="AC45" s="48">
        <f t="shared" si="16"/>
        <v>14206.888150781762</v>
      </c>
      <c r="AD45" s="48">
        <f t="shared" si="16"/>
        <v>17479.263021517581</v>
      </c>
      <c r="AE45" s="48">
        <f t="shared" si="16"/>
        <v>21099.15838271712</v>
      </c>
      <c r="AF45" s="48">
        <f t="shared" si="16"/>
        <v>24809.350865485441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292.62460161116906</v>
      </c>
      <c r="C48" s="163">
        <f t="shared" ref="C48:AF48" si="17">SUM(C35,C26)</f>
        <v>898.488438995264</v>
      </c>
      <c r="D48" s="163">
        <f t="shared" si="17"/>
        <v>948.49446103601076</v>
      </c>
      <c r="E48" s="163">
        <f t="shared" si="17"/>
        <v>1765.1303299638967</v>
      </c>
      <c r="F48" s="163">
        <f t="shared" si="17"/>
        <v>2655.1522074536624</v>
      </c>
      <c r="G48" s="163">
        <f t="shared" si="17"/>
        <v>3124.1266246883897</v>
      </c>
      <c r="H48" s="163">
        <f t="shared" si="17"/>
        <v>3491.2117435676992</v>
      </c>
      <c r="I48" s="163">
        <f t="shared" si="17"/>
        <v>3889.6203464366772</v>
      </c>
      <c r="J48" s="163">
        <f t="shared" si="17"/>
        <v>4459.0670564461834</v>
      </c>
      <c r="K48" s="163">
        <f t="shared" si="17"/>
        <v>4989.2870272987711</v>
      </c>
      <c r="L48" s="163">
        <f t="shared" si="17"/>
        <v>5667.4996938130644</v>
      </c>
      <c r="M48" s="163">
        <f t="shared" si="17"/>
        <v>6305.8646983268773</v>
      </c>
      <c r="N48" s="163">
        <f t="shared" si="17"/>
        <v>7098.6457028405421</v>
      </c>
      <c r="O48" s="163">
        <f t="shared" si="17"/>
        <v>7864.366828510585</v>
      </c>
      <c r="P48" s="163">
        <f t="shared" si="17"/>
        <v>8634.8940433782846</v>
      </c>
      <c r="Q48" s="163">
        <f t="shared" si="17"/>
        <v>9473.8505829529568</v>
      </c>
      <c r="R48" s="163">
        <f t="shared" si="17"/>
        <v>5087.3581409258104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-332.88358803241397</v>
      </c>
      <c r="X48" s="163">
        <f t="shared" si="17"/>
        <v>-1738.4914621579765</v>
      </c>
      <c r="Y48" s="163">
        <f t="shared" si="17"/>
        <v>-1941.9240962697918</v>
      </c>
      <c r="Z48" s="163">
        <f t="shared" si="17"/>
        <v>-2160.6382816510454</v>
      </c>
      <c r="AA48" s="163">
        <f t="shared" si="17"/>
        <v>-2404.0569868469856</v>
      </c>
      <c r="AB48" s="163">
        <f t="shared" si="17"/>
        <v>-2668.7877475080386</v>
      </c>
      <c r="AC48" s="163">
        <f t="shared" si="17"/>
        <v>-2960.1059883155103</v>
      </c>
      <c r="AD48" s="163">
        <f t="shared" si="17"/>
        <v>-3272.3748707358191</v>
      </c>
      <c r="AE48" s="163">
        <f t="shared" si="17"/>
        <v>-3619.8953611995385</v>
      </c>
      <c r="AF48" s="163">
        <f t="shared" si="17"/>
        <v>-3710.1924827683215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2176.0868660312376</v>
      </c>
      <c r="C49" s="392">
        <f t="shared" ref="C49:AF49" si="18">C27+C36+B44</f>
        <v>6469.762593948034</v>
      </c>
      <c r="D49" s="392">
        <f t="shared" si="18"/>
        <v>6393.4827401776429</v>
      </c>
      <c r="E49" s="392">
        <f t="shared" si="18"/>
        <v>6300.6915830135758</v>
      </c>
      <c r="F49" s="392">
        <f t="shared" si="18"/>
        <v>6122.9310549468546</v>
      </c>
      <c r="G49" s="392">
        <f t="shared" si="18"/>
        <v>5891.7711482166251</v>
      </c>
      <c r="H49" s="392">
        <f t="shared" si="18"/>
        <v>5618.5768280412485</v>
      </c>
      <c r="I49" s="392">
        <f t="shared" si="18"/>
        <v>5317.805501820626</v>
      </c>
      <c r="J49" s="392">
        <f t="shared" si="18"/>
        <v>4967.5271974529123</v>
      </c>
      <c r="K49" s="392">
        <f t="shared" si="18"/>
        <v>4580.9876053662974</v>
      </c>
      <c r="L49" s="392">
        <f t="shared" si="18"/>
        <v>4142.7724562932199</v>
      </c>
      <c r="M49" s="392">
        <f t="shared" si="18"/>
        <v>3650.9400565902761</v>
      </c>
      <c r="N49" s="392">
        <f t="shared" si="18"/>
        <v>3092.9801755590747</v>
      </c>
      <c r="O49" s="392">
        <f t="shared" si="18"/>
        <v>2475.9095914154123</v>
      </c>
      <c r="P49" s="392">
        <f t="shared" si="18"/>
        <v>1791.4006096676112</v>
      </c>
      <c r="Q49" s="392">
        <f t="shared" si="18"/>
        <v>1041.4330880526204</v>
      </c>
      <c r="R49" s="392">
        <f t="shared" si="18"/>
        <v>215.32579404045737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6.9451673073672628</v>
      </c>
      <c r="X49" s="392">
        <f t="shared" si="18"/>
        <v>64.564768330556561</v>
      </c>
      <c r="Y49" s="392">
        <f t="shared" si="18"/>
        <v>216.59654295690734</v>
      </c>
      <c r="Z49" s="392">
        <f t="shared" si="18"/>
        <v>385.95251084017679</v>
      </c>
      <c r="AA49" s="392">
        <f t="shared" si="18"/>
        <v>574.91209248103075</v>
      </c>
      <c r="AB49" s="392">
        <f t="shared" si="18"/>
        <v>784.76850631110347</v>
      </c>
      <c r="AC49" s="392">
        <f t="shared" si="18"/>
        <v>1018.2346269261129</v>
      </c>
      <c r="AD49" s="392">
        <f t="shared" si="18"/>
        <v>1274.9504007065457</v>
      </c>
      <c r="AE49" s="392">
        <f t="shared" si="18"/>
        <v>1561.1766678241299</v>
      </c>
      <c r="AF49" s="392">
        <f t="shared" si="18"/>
        <v>1057.1774924468141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2468.7114676424067</v>
      </c>
      <c r="C50" s="49">
        <f t="shared" si="19"/>
        <v>7368.251032943298</v>
      </c>
      <c r="D50" s="49">
        <f t="shared" si="19"/>
        <v>7341.9772012136536</v>
      </c>
      <c r="E50" s="49">
        <f t="shared" si="19"/>
        <v>8065.8219129774725</v>
      </c>
      <c r="F50" s="49">
        <f t="shared" si="19"/>
        <v>8778.0832624005161</v>
      </c>
      <c r="G50" s="49">
        <f t="shared" si="19"/>
        <v>9015.8977729050148</v>
      </c>
      <c r="H50" s="49">
        <f t="shared" si="19"/>
        <v>9109.7885716089477</v>
      </c>
      <c r="I50" s="49">
        <f t="shared" si="19"/>
        <v>9207.4258482573023</v>
      </c>
      <c r="J50" s="49">
        <f t="shared" si="19"/>
        <v>9426.5942538990967</v>
      </c>
      <c r="K50" s="49">
        <f t="shared" si="19"/>
        <v>9570.2746326650686</v>
      </c>
      <c r="L50" s="49">
        <f t="shared" si="19"/>
        <v>9810.2721501062842</v>
      </c>
      <c r="M50" s="49">
        <f t="shared" si="19"/>
        <v>9956.8047549171533</v>
      </c>
      <c r="N50" s="49">
        <f t="shared" si="19"/>
        <v>10191.625878399616</v>
      </c>
      <c r="O50" s="49">
        <f t="shared" si="19"/>
        <v>10340.276419925998</v>
      </c>
      <c r="P50" s="49">
        <f t="shared" si="19"/>
        <v>10426.294653045896</v>
      </c>
      <c r="Q50" s="49">
        <f t="shared" si="19"/>
        <v>10515.283671005578</v>
      </c>
      <c r="R50" s="49">
        <f t="shared" si="19"/>
        <v>5302.6839349662678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-325.93842072504668</v>
      </c>
      <c r="X50" s="49">
        <f t="shared" si="19"/>
        <v>-1673.92669382742</v>
      </c>
      <c r="Y50" s="49">
        <f t="shared" si="19"/>
        <v>-1725.3275533128844</v>
      </c>
      <c r="Z50" s="49">
        <f t="shared" si="19"/>
        <v>-1774.6857708108687</v>
      </c>
      <c r="AA50" s="49">
        <f t="shared" si="19"/>
        <v>-1829.1448943659548</v>
      </c>
      <c r="AB50" s="49">
        <f t="shared" si="19"/>
        <v>-1884.0192411969351</v>
      </c>
      <c r="AC50" s="49">
        <f t="shared" si="19"/>
        <v>-1941.8713613893974</v>
      </c>
      <c r="AD50" s="49">
        <f t="shared" si="19"/>
        <v>-1997.4244700292734</v>
      </c>
      <c r="AE50" s="49">
        <f t="shared" si="19"/>
        <v>-2058.7186933754083</v>
      </c>
      <c r="AF50" s="49">
        <f t="shared" si="19"/>
        <v>-2653.0149903215074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1.3000000000000016</v>
      </c>
      <c r="C52" s="410">
        <f t="shared" ref="C52:AF52" si="20">IF(C33&gt;0.1,(C38+C29)/C50," ")</f>
        <v>1.2999999999999998</v>
      </c>
      <c r="D52" s="410">
        <f t="shared" si="20"/>
        <v>1.3000000000000018</v>
      </c>
      <c r="E52" s="410">
        <f t="shared" si="20"/>
        <v>1.3000000000000009</v>
      </c>
      <c r="F52" s="410">
        <f t="shared" si="20"/>
        <v>1.3000000000000025</v>
      </c>
      <c r="G52" s="410">
        <f t="shared" si="20"/>
        <v>1.2999999999999972</v>
      </c>
      <c r="H52" s="410">
        <f t="shared" si="20"/>
        <v>1.2999999999999985</v>
      </c>
      <c r="I52" s="410">
        <f t="shared" si="20"/>
        <v>1.2999999999999998</v>
      </c>
      <c r="J52" s="410">
        <f t="shared" si="20"/>
        <v>1.2999999999999987</v>
      </c>
      <c r="K52" s="410">
        <f t="shared" si="20"/>
        <v>1.3000000000000003</v>
      </c>
      <c r="L52" s="410">
        <f t="shared" si="20"/>
        <v>1.2999999999999992</v>
      </c>
      <c r="M52" s="410">
        <f t="shared" si="20"/>
        <v>1.3000000000000009</v>
      </c>
      <c r="N52" s="410">
        <f t="shared" si="20"/>
        <v>1.2999999999999998</v>
      </c>
      <c r="O52" s="410">
        <f t="shared" si="20"/>
        <v>1.3000000000000003</v>
      </c>
      <c r="P52" s="472">
        <f t="shared" si="20"/>
        <v>1.2999999999999996</v>
      </c>
      <c r="Q52" s="410">
        <f t="shared" si="20"/>
        <v>1.3000000000000003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1.3000000000000003</v>
      </c>
      <c r="X52" s="410">
        <f t="shared" si="20"/>
        <v>1.2999999999999998</v>
      </c>
      <c r="Y52" s="410">
        <f t="shared" si="20"/>
        <v>1.2999999999999998</v>
      </c>
      <c r="Z52" s="410">
        <f t="shared" si="20"/>
        <v>1.3000000000000003</v>
      </c>
      <c r="AA52" s="410">
        <f t="shared" si="20"/>
        <v>1.3000000000000007</v>
      </c>
      <c r="AB52" s="410">
        <f t="shared" si="20"/>
        <v>1.2999999999999994</v>
      </c>
      <c r="AC52" s="410">
        <f t="shared" si="20"/>
        <v>1.3</v>
      </c>
      <c r="AD52" s="410">
        <f t="shared" si="20"/>
        <v>1.2999999999999998</v>
      </c>
      <c r="AE52" s="410">
        <f t="shared" si="20"/>
        <v>1.2999999999999963</v>
      </c>
      <c r="AF52" s="472">
        <f t="shared" si="20"/>
        <v>1.3000000000000009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292.62460161116906</v>
      </c>
      <c r="C56" s="163">
        <f t="shared" si="21"/>
        <v>898.488438995264</v>
      </c>
      <c r="D56" s="163">
        <f t="shared" si="21"/>
        <v>948.49446103601076</v>
      </c>
      <c r="E56" s="163">
        <f t="shared" si="21"/>
        <v>1765.1303299638967</v>
      </c>
      <c r="F56" s="163">
        <f t="shared" si="21"/>
        <v>2655.1522074536624</v>
      </c>
      <c r="G56" s="163">
        <f t="shared" si="21"/>
        <v>3124.1266246883897</v>
      </c>
      <c r="H56" s="163">
        <f t="shared" si="21"/>
        <v>3491.2117435676992</v>
      </c>
      <c r="I56" s="163">
        <f t="shared" si="21"/>
        <v>3889.6203464366772</v>
      </c>
      <c r="J56" s="163">
        <f t="shared" si="21"/>
        <v>4459.0670564461834</v>
      </c>
      <c r="K56" s="163">
        <f t="shared" si="21"/>
        <v>4989.2870272987711</v>
      </c>
      <c r="L56" s="163">
        <f t="shared" si="21"/>
        <v>5667.4996938130644</v>
      </c>
      <c r="M56" s="163">
        <f t="shared" si="21"/>
        <v>6305.8646983268773</v>
      </c>
      <c r="N56" s="163">
        <f t="shared" si="21"/>
        <v>7098.6457028405421</v>
      </c>
      <c r="O56" s="163">
        <f t="shared" si="21"/>
        <v>7864.366828510585</v>
      </c>
      <c r="P56" s="163">
        <f t="shared" si="21"/>
        <v>8634.8940433782846</v>
      </c>
      <c r="Q56" s="163">
        <f t="shared" si="21"/>
        <v>9473.8505829529568</v>
      </c>
      <c r="R56" s="163">
        <f t="shared" si="21"/>
        <v>5087.3581409258104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-332.88358803241397</v>
      </c>
      <c r="X56" s="163">
        <f t="shared" si="21"/>
        <v>-1738.4914621579765</v>
      </c>
      <c r="Y56" s="163">
        <f t="shared" si="21"/>
        <v>-1941.9240962697918</v>
      </c>
      <c r="Z56" s="163">
        <f t="shared" si="21"/>
        <v>-2160.6382816510454</v>
      </c>
      <c r="AA56" s="163">
        <f t="shared" si="21"/>
        <v>-2404.0569868469856</v>
      </c>
      <c r="AB56" s="163">
        <f t="shared" si="21"/>
        <v>-2668.7877475080386</v>
      </c>
      <c r="AC56" s="163">
        <f t="shared" si="21"/>
        <v>-2960.1059883155103</v>
      </c>
      <c r="AD56" s="163">
        <f t="shared" si="21"/>
        <v>-3272.3748707358191</v>
      </c>
      <c r="AE56" s="163">
        <f t="shared" si="21"/>
        <v>-3619.8953611995385</v>
      </c>
      <c r="AF56" s="163">
        <f t="shared" si="21"/>
        <v>-3710.1924827683215</v>
      </c>
    </row>
    <row r="57" spans="1:39">
      <c r="A57" s="403" t="s">
        <v>137</v>
      </c>
      <c r="B57" s="392">
        <f t="shared" ref="B57:AF57" si="22">B36+B44+B27</f>
        <v>3793.0366348540147</v>
      </c>
      <c r="C57" s="392">
        <f t="shared" si="22"/>
        <v>6451.8295237194789</v>
      </c>
      <c r="D57" s="392">
        <f t="shared" si="22"/>
        <v>6373.3824534485648</v>
      </c>
      <c r="E57" s="392">
        <f t="shared" si="22"/>
        <v>6259.0735515541892</v>
      </c>
      <c r="F57" s="392">
        <f t="shared" si="22"/>
        <v>6070.8754277023381</v>
      </c>
      <c r="G57" s="392">
        <f t="shared" si="22"/>
        <v>5825.5653415263114</v>
      </c>
      <c r="H57" s="392">
        <f t="shared" si="22"/>
        <v>5544.5918339686559</v>
      </c>
      <c r="I57" s="392">
        <f t="shared" si="22"/>
        <v>5231.9277276892435</v>
      </c>
      <c r="J57" s="392">
        <f t="shared" si="22"/>
        <v>4876.4814179916957</v>
      </c>
      <c r="K57" s="392">
        <f t="shared" si="22"/>
        <v>4475.2557282261441</v>
      </c>
      <c r="L57" s="392">
        <f t="shared" si="22"/>
        <v>4022.6680449736468</v>
      </c>
      <c r="M57" s="392">
        <f t="shared" si="22"/>
        <v>3515.0981015304283</v>
      </c>
      <c r="N57" s="392">
        <f t="shared" si="22"/>
        <v>2944.7566841722651</v>
      </c>
      <c r="O57" s="392">
        <f t="shared" si="22"/>
        <v>2309.2496532824548</v>
      </c>
      <c r="P57" s="392">
        <f t="shared" si="22"/>
        <v>1608.4118276798549</v>
      </c>
      <c r="Q57" s="392">
        <f t="shared" si="22"/>
        <v>840.37075962934227</v>
      </c>
      <c r="R57" s="392">
        <f t="shared" si="22"/>
        <v>107.81017868509903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13.999563344163761</v>
      </c>
      <c r="X57" s="392">
        <f t="shared" si="22"/>
        <v>101.40649835738384</v>
      </c>
      <c r="Y57" s="392">
        <f t="shared" si="22"/>
        <v>257.51699858145162</v>
      </c>
      <c r="Z57" s="392">
        <f t="shared" si="22"/>
        <v>431.97265793677678</v>
      </c>
      <c r="AA57" s="392">
        <f t="shared" si="22"/>
        <v>625.8583412296922</v>
      </c>
      <c r="AB57" s="392">
        <f t="shared" si="22"/>
        <v>841.32487131651351</v>
      </c>
      <c r="AC57" s="392">
        <f t="shared" si="22"/>
        <v>1080.1419506339862</v>
      </c>
      <c r="AD57" s="392">
        <f t="shared" si="22"/>
        <v>1345.120445340486</v>
      </c>
      <c r="AE57" s="392">
        <f t="shared" si="22"/>
        <v>1637.8886969169473</v>
      </c>
      <c r="AF57" s="392">
        <f t="shared" si="22"/>
        <v>2019.7636482272283</v>
      </c>
    </row>
    <row r="58" spans="1:39">
      <c r="A58" s="49" t="s">
        <v>60</v>
      </c>
      <c r="B58" s="49">
        <f>SUM(B56:B57)</f>
        <v>4085.6612364651837</v>
      </c>
      <c r="C58" s="49">
        <f t="shared" ref="C58:AF58" si="23">SUM(C56:C57)</f>
        <v>7350.3179627147429</v>
      </c>
      <c r="D58" s="49">
        <f t="shared" si="23"/>
        <v>7321.8769144845755</v>
      </c>
      <c r="E58" s="49">
        <f t="shared" si="23"/>
        <v>8024.2038815180858</v>
      </c>
      <c r="F58" s="49">
        <f t="shared" si="23"/>
        <v>8726.0276351560005</v>
      </c>
      <c r="G58" s="49">
        <f t="shared" si="23"/>
        <v>8949.6919662147011</v>
      </c>
      <c r="H58" s="49">
        <f t="shared" si="23"/>
        <v>9035.8035775363551</v>
      </c>
      <c r="I58" s="49">
        <f t="shared" si="23"/>
        <v>9121.5480741259198</v>
      </c>
      <c r="J58" s="49">
        <f t="shared" si="23"/>
        <v>9335.5484744378791</v>
      </c>
      <c r="K58" s="49">
        <f t="shared" si="23"/>
        <v>9464.5427555249153</v>
      </c>
      <c r="L58" s="49">
        <f t="shared" si="23"/>
        <v>9690.1677387867112</v>
      </c>
      <c r="M58" s="49">
        <f t="shared" si="23"/>
        <v>9820.9627998573051</v>
      </c>
      <c r="N58" s="49">
        <f t="shared" si="23"/>
        <v>10043.402387012808</v>
      </c>
      <c r="O58" s="49">
        <f t="shared" si="23"/>
        <v>10173.61648179304</v>
      </c>
      <c r="P58" s="49">
        <f t="shared" si="23"/>
        <v>10243.305871058139</v>
      </c>
      <c r="Q58" s="49">
        <f t="shared" si="23"/>
        <v>10314.221342582299</v>
      </c>
      <c r="R58" s="49">
        <f t="shared" si="23"/>
        <v>5195.1683196109097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-318.88402468825018</v>
      </c>
      <c r="X58" s="49">
        <f t="shared" si="23"/>
        <v>-1637.0849638005925</v>
      </c>
      <c r="Y58" s="49">
        <f t="shared" si="23"/>
        <v>-1684.4070976883402</v>
      </c>
      <c r="Z58" s="49">
        <f t="shared" si="23"/>
        <v>-1728.6656237142686</v>
      </c>
      <c r="AA58" s="49">
        <f t="shared" si="23"/>
        <v>-1778.1986456172936</v>
      </c>
      <c r="AB58" s="49">
        <f t="shared" si="23"/>
        <v>-1827.4628761915251</v>
      </c>
      <c r="AC58" s="49">
        <f t="shared" si="23"/>
        <v>-1879.9640376815241</v>
      </c>
      <c r="AD58" s="49">
        <f t="shared" si="23"/>
        <v>-1927.2544253953331</v>
      </c>
      <c r="AE58" s="49">
        <f t="shared" si="23"/>
        <v>-1982.0066642825911</v>
      </c>
      <c r="AF58" s="49">
        <f t="shared" si="23"/>
        <v>-1690.4288345410932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8" t="s">
        <v>334</v>
      </c>
      <c r="C61" s="549"/>
      <c r="D61" s="549"/>
      <c r="E61" s="55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2.3254030870578859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76645.682528245845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2.3254030870578859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102104.66472957682</v>
      </c>
      <c r="C16" s="309"/>
      <c r="D16" s="18">
        <f>$B$16*D12</f>
        <v>5105.2332364788417</v>
      </c>
      <c r="E16" s="18">
        <f t="shared" ref="E16:Y16" si="0">$B$16*E12</f>
        <v>9699.9431493097982</v>
      </c>
      <c r="F16" s="18">
        <f t="shared" si="0"/>
        <v>8729.948834378818</v>
      </c>
      <c r="G16" s="18">
        <f t="shared" si="0"/>
        <v>7862.0591841774149</v>
      </c>
      <c r="H16" s="18">
        <f t="shared" si="0"/>
        <v>7075.8532657596734</v>
      </c>
      <c r="I16" s="18">
        <f t="shared" si="0"/>
        <v>6361.1206126526358</v>
      </c>
      <c r="J16" s="18">
        <f t="shared" si="0"/>
        <v>6024.1752190450325</v>
      </c>
      <c r="K16" s="18">
        <f t="shared" si="0"/>
        <v>6034.3856855179902</v>
      </c>
      <c r="L16" s="18">
        <f t="shared" si="0"/>
        <v>6024.1752190450325</v>
      </c>
      <c r="M16" s="18">
        <f t="shared" si="0"/>
        <v>6034.3856855179902</v>
      </c>
      <c r="N16" s="18">
        <f t="shared" si="0"/>
        <v>6024.1752190450325</v>
      </c>
      <c r="O16" s="18">
        <f t="shared" si="0"/>
        <v>6034.3856855179902</v>
      </c>
      <c r="P16" s="18">
        <f t="shared" si="0"/>
        <v>6024.1752190450325</v>
      </c>
      <c r="Q16" s="18">
        <f t="shared" si="0"/>
        <v>6034.3856855179902</v>
      </c>
      <c r="R16" s="18">
        <f t="shared" si="0"/>
        <v>6024.1752190450325</v>
      </c>
      <c r="S16" s="18">
        <f t="shared" si="0"/>
        <v>3012.0876095225162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4788.0000000000009</v>
      </c>
      <c r="C17" s="309"/>
      <c r="D17" s="306">
        <f>$B$17*D13</f>
        <v>558.60000000000014</v>
      </c>
      <c r="E17" s="306">
        <f t="shared" ref="E17:AH17" si="2">$B$17*E13</f>
        <v>957.60000000000025</v>
      </c>
      <c r="F17" s="306">
        <f t="shared" si="2"/>
        <v>957.60000000000025</v>
      </c>
      <c r="G17" s="306">
        <f t="shared" si="2"/>
        <v>957.60000000000025</v>
      </c>
      <c r="H17" s="306">
        <f t="shared" si="2"/>
        <v>957.60000000000025</v>
      </c>
      <c r="I17" s="306">
        <f t="shared" si="2"/>
        <v>399.00000000000006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106892.66472957682</v>
      </c>
      <c r="C19" s="309"/>
      <c r="D19" s="18">
        <f t="shared" ref="D19:Y19" si="5">SUM(D16:D18)</f>
        <v>5663.8332364788421</v>
      </c>
      <c r="E19" s="18">
        <f t="shared" si="5"/>
        <v>10657.543149309799</v>
      </c>
      <c r="F19" s="18">
        <f t="shared" si="5"/>
        <v>9687.5488343788184</v>
      </c>
      <c r="G19" s="18">
        <f t="shared" si="5"/>
        <v>8819.6591841774152</v>
      </c>
      <c r="H19" s="18">
        <f t="shared" si="5"/>
        <v>8033.4532657596737</v>
      </c>
      <c r="I19" s="18">
        <f t="shared" si="5"/>
        <v>6760.1206126526358</v>
      </c>
      <c r="J19" s="18">
        <f t="shared" si="5"/>
        <v>6024.1752190450325</v>
      </c>
      <c r="K19" s="18">
        <f t="shared" si="5"/>
        <v>6034.3856855179902</v>
      </c>
      <c r="L19" s="18">
        <f t="shared" si="5"/>
        <v>6024.1752190450325</v>
      </c>
      <c r="M19" s="18">
        <f t="shared" si="5"/>
        <v>6034.3856855179902</v>
      </c>
      <c r="N19" s="18">
        <f t="shared" si="5"/>
        <v>6024.1752190450325</v>
      </c>
      <c r="O19" s="18">
        <f t="shared" si="5"/>
        <v>6034.3856855179902</v>
      </c>
      <c r="P19" s="18">
        <f t="shared" si="5"/>
        <v>6024.1752190450325</v>
      </c>
      <c r="Q19" s="18">
        <f t="shared" si="5"/>
        <v>6034.3856855179902</v>
      </c>
      <c r="R19" s="18">
        <f t="shared" si="5"/>
        <v>6024.1752190450325</v>
      </c>
      <c r="S19" s="18">
        <f t="shared" si="5"/>
        <v>3012.0876095225162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106892.66472957682</v>
      </c>
      <c r="C21" s="383"/>
      <c r="D21" s="310">
        <f>B19-D19</f>
        <v>101228.83149309798</v>
      </c>
      <c r="E21" s="310">
        <f>D21-E19</f>
        <v>90571.288343788183</v>
      </c>
      <c r="F21" s="310">
        <f t="shared" ref="F21:X21" si="7">E21-F19</f>
        <v>80883.739509409366</v>
      </c>
      <c r="G21" s="310">
        <f t="shared" si="7"/>
        <v>72064.080325231946</v>
      </c>
      <c r="H21" s="310">
        <f t="shared" si="7"/>
        <v>64030.627059472274</v>
      </c>
      <c r="I21" s="310">
        <f t="shared" si="7"/>
        <v>57270.506446819636</v>
      </c>
      <c r="J21" s="310">
        <f t="shared" si="7"/>
        <v>51246.331227774601</v>
      </c>
      <c r="K21" s="310">
        <f t="shared" si="7"/>
        <v>45211.94554225661</v>
      </c>
      <c r="L21" s="310">
        <f t="shared" si="7"/>
        <v>39187.770323211575</v>
      </c>
      <c r="M21" s="310">
        <f t="shared" si="7"/>
        <v>33153.384637693583</v>
      </c>
      <c r="N21" s="310">
        <f t="shared" si="7"/>
        <v>27129.209418648552</v>
      </c>
      <c r="O21" s="310">
        <f t="shared" si="7"/>
        <v>21094.823733130561</v>
      </c>
      <c r="P21" s="310">
        <f t="shared" si="7"/>
        <v>15070.648514085529</v>
      </c>
      <c r="Q21" s="310">
        <f t="shared" si="7"/>
        <v>9036.2628285675382</v>
      </c>
      <c r="R21" s="310">
        <f t="shared" si="7"/>
        <v>3012.0876095225058</v>
      </c>
      <c r="S21" s="310">
        <f t="shared" si="7"/>
        <v>-1.0459189070388675E-11</v>
      </c>
      <c r="T21" s="310">
        <f t="shared" si="7"/>
        <v>-1.0459189070388675E-11</v>
      </c>
      <c r="U21" s="310">
        <f t="shared" si="7"/>
        <v>-1.0459189070388675E-11</v>
      </c>
      <c r="V21" s="310">
        <f t="shared" si="7"/>
        <v>-1.0459189070388675E-11</v>
      </c>
      <c r="W21" s="310">
        <f t="shared" si="7"/>
        <v>-1.0459189070388675E-11</v>
      </c>
      <c r="X21" s="310">
        <f t="shared" si="7"/>
        <v>-1.0459189070388675E-11</v>
      </c>
      <c r="Y21" s="310">
        <f>X21-Y19</f>
        <v>-1.0459189070388675E-11</v>
      </c>
      <c r="Z21" s="310">
        <f t="shared" ref="Z21:AH21" si="8">Y21-Z19</f>
        <v>-1.0459189070388675E-11</v>
      </c>
      <c r="AA21" s="310">
        <f t="shared" si="8"/>
        <v>-1.0459189070388675E-11</v>
      </c>
      <c r="AB21" s="310">
        <f t="shared" si="8"/>
        <v>-1.0459189070388675E-11</v>
      </c>
      <c r="AC21" s="310">
        <f t="shared" si="8"/>
        <v>-1.0459189070388675E-11</v>
      </c>
      <c r="AD21" s="310">
        <f t="shared" si="8"/>
        <v>-1.0459189070388675E-11</v>
      </c>
      <c r="AE21" s="310">
        <f t="shared" si="8"/>
        <v>-1.0459189070388675E-11</v>
      </c>
      <c r="AF21" s="310">
        <f t="shared" si="8"/>
        <v>-1.0459189070388675E-11</v>
      </c>
      <c r="AG21" s="310">
        <f t="shared" si="8"/>
        <v>-1.0459189070388675E-11</v>
      </c>
      <c r="AH21" s="310">
        <f t="shared" si="8"/>
        <v>-1.0459189070388675E-11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102104.66472957682</v>
      </c>
      <c r="C31" s="309"/>
      <c r="D31" s="18">
        <f>$B$31*D26</f>
        <v>5105.2332364788417</v>
      </c>
      <c r="E31" s="18">
        <f t="shared" ref="E31:Y31" si="14">$B$31*E26</f>
        <v>9699.9431493097982</v>
      </c>
      <c r="F31" s="18">
        <f t="shared" si="14"/>
        <v>8729.948834378818</v>
      </c>
      <c r="G31" s="18">
        <f t="shared" si="14"/>
        <v>7862.0591841774149</v>
      </c>
      <c r="H31" s="18">
        <f t="shared" si="14"/>
        <v>7075.8532657596734</v>
      </c>
      <c r="I31" s="18">
        <f t="shared" si="14"/>
        <v>6361.1206126526358</v>
      </c>
      <c r="J31" s="18">
        <f t="shared" si="14"/>
        <v>6024.1752190450325</v>
      </c>
      <c r="K31" s="18">
        <f t="shared" si="14"/>
        <v>6034.3856855179902</v>
      </c>
      <c r="L31" s="18">
        <f t="shared" si="14"/>
        <v>6024.1752190450325</v>
      </c>
      <c r="M31" s="18">
        <f t="shared" si="14"/>
        <v>6034.3856855179902</v>
      </c>
      <c r="N31" s="18">
        <f t="shared" si="14"/>
        <v>6024.1752190450325</v>
      </c>
      <c r="O31" s="18">
        <f t="shared" si="14"/>
        <v>6034.3856855179902</v>
      </c>
      <c r="P31" s="18">
        <f t="shared" si="14"/>
        <v>6024.1752190450325</v>
      </c>
      <c r="Q31" s="18">
        <f t="shared" si="14"/>
        <v>6034.3856855179902</v>
      </c>
      <c r="R31" s="18">
        <f t="shared" si="14"/>
        <v>6024.1752190450325</v>
      </c>
      <c r="S31" s="18">
        <f t="shared" si="14"/>
        <v>3012.0876095225162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4788.0000000000009</v>
      </c>
      <c r="C32" s="309"/>
      <c r="D32" s="306">
        <f>D27*$B$32</f>
        <v>558.60000000000014</v>
      </c>
      <c r="E32" s="306">
        <f t="shared" ref="E32:AH32" si="16">E27*$B$32</f>
        <v>957.60000000000025</v>
      </c>
      <c r="F32" s="306">
        <f t="shared" si="16"/>
        <v>957.60000000000025</v>
      </c>
      <c r="G32" s="306">
        <f t="shared" si="16"/>
        <v>957.60000000000025</v>
      </c>
      <c r="H32" s="306">
        <f t="shared" si="16"/>
        <v>957.60000000000025</v>
      </c>
      <c r="I32" s="306">
        <f t="shared" si="16"/>
        <v>399.00000000000006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106892.66472957682</v>
      </c>
      <c r="C34" s="309"/>
      <c r="D34" s="18">
        <f t="shared" ref="D34:Y34" si="19">SUM(D31:D33)</f>
        <v>5663.8332364788421</v>
      </c>
      <c r="E34" s="18">
        <f t="shared" si="19"/>
        <v>10657.543149309799</v>
      </c>
      <c r="F34" s="18">
        <f t="shared" si="19"/>
        <v>9687.5488343788184</v>
      </c>
      <c r="G34" s="18">
        <f t="shared" si="19"/>
        <v>8819.6591841774152</v>
      </c>
      <c r="H34" s="18">
        <f t="shared" si="19"/>
        <v>8033.4532657596737</v>
      </c>
      <c r="I34" s="18">
        <f t="shared" si="19"/>
        <v>6760.1206126526358</v>
      </c>
      <c r="J34" s="18">
        <f t="shared" si="19"/>
        <v>6024.1752190450325</v>
      </c>
      <c r="K34" s="18">
        <f t="shared" si="19"/>
        <v>6034.3856855179902</v>
      </c>
      <c r="L34" s="18">
        <f t="shared" si="19"/>
        <v>6024.1752190450325</v>
      </c>
      <c r="M34" s="18">
        <f t="shared" si="19"/>
        <v>6034.3856855179902</v>
      </c>
      <c r="N34" s="18">
        <f t="shared" si="19"/>
        <v>6024.1752190450325</v>
      </c>
      <c r="O34" s="18">
        <f t="shared" si="19"/>
        <v>6034.3856855179902</v>
      </c>
      <c r="P34" s="18">
        <f t="shared" si="19"/>
        <v>6024.1752190450325</v>
      </c>
      <c r="Q34" s="18">
        <f t="shared" si="19"/>
        <v>6034.3856855179902</v>
      </c>
      <c r="R34" s="18">
        <f t="shared" si="19"/>
        <v>6024.1752190450325</v>
      </c>
      <c r="S34" s="18">
        <f t="shared" si="19"/>
        <v>3012.0876095225162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106892.66472957682</v>
      </c>
      <c r="C36" s="385"/>
      <c r="D36" s="310">
        <f>B34-D34</f>
        <v>101228.83149309798</v>
      </c>
      <c r="E36" s="310">
        <f>D36-E34</f>
        <v>90571.288343788183</v>
      </c>
      <c r="F36" s="310">
        <f t="shared" ref="F36:W36" si="21">E36-F34</f>
        <v>80883.739509409366</v>
      </c>
      <c r="G36" s="310">
        <f t="shared" si="21"/>
        <v>72064.080325231946</v>
      </c>
      <c r="H36" s="310">
        <f t="shared" si="21"/>
        <v>64030.627059472274</v>
      </c>
      <c r="I36" s="310">
        <f t="shared" si="21"/>
        <v>57270.506446819636</v>
      </c>
      <c r="J36" s="310">
        <f t="shared" si="21"/>
        <v>51246.331227774601</v>
      </c>
      <c r="K36" s="310">
        <f t="shared" si="21"/>
        <v>45211.94554225661</v>
      </c>
      <c r="L36" s="310">
        <f t="shared" si="21"/>
        <v>39187.770323211575</v>
      </c>
      <c r="M36" s="310">
        <f t="shared" si="21"/>
        <v>33153.384637693583</v>
      </c>
      <c r="N36" s="310">
        <f t="shared" si="21"/>
        <v>27129.209418648552</v>
      </c>
      <c r="O36" s="310">
        <f t="shared" si="21"/>
        <v>21094.823733130561</v>
      </c>
      <c r="P36" s="310">
        <f t="shared" si="21"/>
        <v>15070.648514085529</v>
      </c>
      <c r="Q36" s="310">
        <f t="shared" si="21"/>
        <v>9036.2628285675382</v>
      </c>
      <c r="R36" s="310">
        <f t="shared" si="21"/>
        <v>3012.0876095225058</v>
      </c>
      <c r="S36" s="310">
        <f t="shared" si="21"/>
        <v>-1.0459189070388675E-11</v>
      </c>
      <c r="T36" s="310">
        <f t="shared" si="21"/>
        <v>-1.0459189070388675E-11</v>
      </c>
      <c r="U36" s="310">
        <f t="shared" si="21"/>
        <v>-1.0459189070388675E-11</v>
      </c>
      <c r="V36" s="310">
        <f t="shared" si="21"/>
        <v>-1.0459189070388675E-11</v>
      </c>
      <c r="W36" s="310">
        <f t="shared" si="21"/>
        <v>-1.0459189070388675E-11</v>
      </c>
      <c r="X36" s="310">
        <f>W36-X34</f>
        <v>-1.0459189070388675E-11</v>
      </c>
      <c r="Y36" s="310">
        <f>X36-Y34</f>
        <v>-1.0459189070388675E-11</v>
      </c>
      <c r="Z36" s="310">
        <f t="shared" ref="Z36:AH36" si="22">Y36-Z34</f>
        <v>-1.0459189070388675E-11</v>
      </c>
      <c r="AA36" s="310">
        <f t="shared" si="22"/>
        <v>-1.0459189070388675E-11</v>
      </c>
      <c r="AB36" s="310">
        <f t="shared" si="22"/>
        <v>-1.0459189070388675E-11</v>
      </c>
      <c r="AC36" s="310">
        <f t="shared" si="22"/>
        <v>-1.0459189070388675E-11</v>
      </c>
      <c r="AD36" s="310">
        <f t="shared" si="22"/>
        <v>-1.0459189070388675E-11</v>
      </c>
      <c r="AE36" s="310">
        <f t="shared" si="22"/>
        <v>-1.0459189070388675E-11</v>
      </c>
      <c r="AF36" s="310">
        <f t="shared" si="22"/>
        <v>-1.0459189070388675E-11</v>
      </c>
      <c r="AG36" s="310">
        <f t="shared" si="22"/>
        <v>-1.0459189070388675E-11</v>
      </c>
      <c r="AH36" s="310">
        <f t="shared" si="22"/>
        <v>-1.0459189070388675E-11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102104.66472957682</v>
      </c>
      <c r="C45" s="309"/>
      <c r="D45" s="18">
        <f t="shared" ref="D45:Y45" si="24">D41*$B$45</f>
        <v>1786.8316327675946</v>
      </c>
      <c r="E45" s="18">
        <f t="shared" si="24"/>
        <v>3063.1399418873043</v>
      </c>
      <c r="F45" s="18">
        <f t="shared" si="24"/>
        <v>3063.1399418873043</v>
      </c>
      <c r="G45" s="18">
        <f t="shared" si="24"/>
        <v>3063.1399418873043</v>
      </c>
      <c r="H45" s="18">
        <f t="shared" si="24"/>
        <v>3063.1399418873043</v>
      </c>
      <c r="I45" s="18">
        <f t="shared" si="24"/>
        <v>3063.1399418873043</v>
      </c>
      <c r="J45" s="18">
        <f t="shared" si="24"/>
        <v>3063.1399418873043</v>
      </c>
      <c r="K45" s="18">
        <f t="shared" si="24"/>
        <v>3063.1399418873043</v>
      </c>
      <c r="L45" s="18">
        <f t="shared" si="24"/>
        <v>3063.1399418873043</v>
      </c>
      <c r="M45" s="18">
        <f t="shared" si="24"/>
        <v>3063.1399418873043</v>
      </c>
      <c r="N45" s="18">
        <f t="shared" si="24"/>
        <v>3063.1399418873043</v>
      </c>
      <c r="O45" s="18">
        <f t="shared" si="24"/>
        <v>3063.1399418873043</v>
      </c>
      <c r="P45" s="18">
        <f t="shared" si="24"/>
        <v>3063.1399418873043</v>
      </c>
      <c r="Q45" s="18">
        <f t="shared" si="24"/>
        <v>3063.1399418873043</v>
      </c>
      <c r="R45" s="18">
        <f t="shared" si="24"/>
        <v>3063.1399418873043</v>
      </c>
      <c r="S45" s="18">
        <f t="shared" si="24"/>
        <v>3063.1399418873043</v>
      </c>
      <c r="T45" s="18">
        <f t="shared" si="24"/>
        <v>3063.1399418873043</v>
      </c>
      <c r="U45" s="18">
        <f t="shared" si="24"/>
        <v>3063.1399418873043</v>
      </c>
      <c r="V45" s="18">
        <f t="shared" si="24"/>
        <v>3063.1399418873043</v>
      </c>
      <c r="W45" s="18">
        <f t="shared" si="24"/>
        <v>3063.1399418873043</v>
      </c>
      <c r="X45" s="18">
        <f t="shared" si="24"/>
        <v>3063.1399418873043</v>
      </c>
      <c r="Y45" s="18">
        <f t="shared" si="24"/>
        <v>3063.1399418873043</v>
      </c>
      <c r="Z45" s="18">
        <f t="shared" ref="Z45:AH45" si="25">Z41*$B$45</f>
        <v>3063.1399418873043</v>
      </c>
      <c r="AA45" s="18">
        <f t="shared" si="25"/>
        <v>3063.1399418873043</v>
      </c>
      <c r="AB45" s="18">
        <f t="shared" si="25"/>
        <v>3063.1399418873043</v>
      </c>
      <c r="AC45" s="18">
        <f t="shared" si="25"/>
        <v>3063.1399418873043</v>
      </c>
      <c r="AD45" s="18">
        <f t="shared" si="25"/>
        <v>3063.1399418873043</v>
      </c>
      <c r="AE45" s="18">
        <f t="shared" si="25"/>
        <v>3063.1399418873043</v>
      </c>
      <c r="AF45" s="18">
        <f t="shared" si="25"/>
        <v>3063.1399418873043</v>
      </c>
      <c r="AG45" s="18">
        <f t="shared" si="25"/>
        <v>3063.1399418873043</v>
      </c>
      <c r="AH45" s="18">
        <f t="shared" si="25"/>
        <v>1276.30830911971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4788.0000000000009</v>
      </c>
      <c r="C46" s="309"/>
      <c r="D46" s="306">
        <f>D42*$B$46</f>
        <v>558.60000000000014</v>
      </c>
      <c r="E46" s="306">
        <f t="shared" ref="E46:AH46" si="26">E42*$B$46</f>
        <v>957.60000000000025</v>
      </c>
      <c r="F46" s="306">
        <f t="shared" si="26"/>
        <v>957.60000000000025</v>
      </c>
      <c r="G46" s="306">
        <f t="shared" si="26"/>
        <v>957.60000000000025</v>
      </c>
      <c r="H46" s="306">
        <f t="shared" si="26"/>
        <v>957.60000000000025</v>
      </c>
      <c r="I46" s="306">
        <f t="shared" si="26"/>
        <v>399.00000000000006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106892.66472957682</v>
      </c>
      <c r="C48" s="309"/>
      <c r="D48" s="18">
        <f t="shared" ref="D48:Y48" si="29">SUM(D45:D47)</f>
        <v>2345.4316327675947</v>
      </c>
      <c r="E48" s="18">
        <f t="shared" si="29"/>
        <v>4020.7399418873047</v>
      </c>
      <c r="F48" s="18">
        <f t="shared" si="29"/>
        <v>4020.7399418873047</v>
      </c>
      <c r="G48" s="18">
        <f t="shared" si="29"/>
        <v>4020.7399418873047</v>
      </c>
      <c r="H48" s="18">
        <f t="shared" si="29"/>
        <v>4020.7399418873047</v>
      </c>
      <c r="I48" s="18">
        <f t="shared" si="29"/>
        <v>3462.1399418873043</v>
      </c>
      <c r="J48" s="18">
        <f t="shared" si="29"/>
        <v>3063.1399418873043</v>
      </c>
      <c r="K48" s="18">
        <f t="shared" si="29"/>
        <v>3063.1399418873043</v>
      </c>
      <c r="L48" s="18">
        <f t="shared" si="29"/>
        <v>3063.1399418873043</v>
      </c>
      <c r="M48" s="18">
        <f t="shared" si="29"/>
        <v>3063.1399418873043</v>
      </c>
      <c r="N48" s="18">
        <f t="shared" si="29"/>
        <v>3063.1399418873043</v>
      </c>
      <c r="O48" s="18">
        <f t="shared" si="29"/>
        <v>3063.1399418873043</v>
      </c>
      <c r="P48" s="18">
        <f t="shared" si="29"/>
        <v>3063.1399418873043</v>
      </c>
      <c r="Q48" s="18">
        <f t="shared" si="29"/>
        <v>3063.1399418873043</v>
      </c>
      <c r="R48" s="18">
        <f t="shared" si="29"/>
        <v>3063.1399418873043</v>
      </c>
      <c r="S48" s="18">
        <f t="shared" si="29"/>
        <v>3063.1399418873043</v>
      </c>
      <c r="T48" s="18">
        <f t="shared" si="29"/>
        <v>3063.1399418873043</v>
      </c>
      <c r="U48" s="18">
        <f t="shared" si="29"/>
        <v>3063.1399418873043</v>
      </c>
      <c r="V48" s="18">
        <f t="shared" si="29"/>
        <v>3063.1399418873043</v>
      </c>
      <c r="W48" s="18">
        <f t="shared" si="29"/>
        <v>3063.1399418873043</v>
      </c>
      <c r="X48" s="18">
        <f t="shared" si="29"/>
        <v>3063.1399418873043</v>
      </c>
      <c r="Y48" s="18">
        <f t="shared" si="29"/>
        <v>3063.1399418873043</v>
      </c>
      <c r="Z48" s="18">
        <f t="shared" ref="Z48:AH48" si="30">SUM(Z45:Z47)</f>
        <v>3063.1399418873043</v>
      </c>
      <c r="AA48" s="18">
        <f t="shared" si="30"/>
        <v>3063.1399418873043</v>
      </c>
      <c r="AB48" s="18">
        <f t="shared" si="30"/>
        <v>3063.1399418873043</v>
      </c>
      <c r="AC48" s="18">
        <f t="shared" si="30"/>
        <v>3063.1399418873043</v>
      </c>
      <c r="AD48" s="18">
        <f t="shared" si="30"/>
        <v>3063.1399418873043</v>
      </c>
      <c r="AE48" s="18">
        <f t="shared" si="30"/>
        <v>3063.1399418873043</v>
      </c>
      <c r="AF48" s="18">
        <f t="shared" si="30"/>
        <v>3063.1399418873043</v>
      </c>
      <c r="AG48" s="18">
        <f t="shared" si="30"/>
        <v>3063.1399418873043</v>
      </c>
      <c r="AH48" s="18">
        <f t="shared" si="30"/>
        <v>1276.30830911971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106892.66472957682</v>
      </c>
      <c r="C50" s="385"/>
      <c r="D50" s="310">
        <f>B48-D48</f>
        <v>104547.23309680923</v>
      </c>
      <c r="E50" s="310">
        <f>D50-E48</f>
        <v>100526.49315492192</v>
      </c>
      <c r="F50" s="310">
        <f t="shared" ref="F50:Y50" si="31">E50-F48</f>
        <v>96505.753213034608</v>
      </c>
      <c r="G50" s="310">
        <f t="shared" si="31"/>
        <v>92485.013271147298</v>
      </c>
      <c r="H50" s="310">
        <f t="shared" si="31"/>
        <v>88464.273329259988</v>
      </c>
      <c r="I50" s="310">
        <f t="shared" si="31"/>
        <v>85002.133387372684</v>
      </c>
      <c r="J50" s="310">
        <f t="shared" si="31"/>
        <v>81938.993445485379</v>
      </c>
      <c r="K50" s="310">
        <f t="shared" si="31"/>
        <v>78875.853503598075</v>
      </c>
      <c r="L50" s="310">
        <f t="shared" si="31"/>
        <v>75812.713561710771</v>
      </c>
      <c r="M50" s="310">
        <f t="shared" si="31"/>
        <v>72749.573619823466</v>
      </c>
      <c r="N50" s="310">
        <f t="shared" si="31"/>
        <v>69686.433677936162</v>
      </c>
      <c r="O50" s="310">
        <f t="shared" si="31"/>
        <v>66623.293736048858</v>
      </c>
      <c r="P50" s="310">
        <f t="shared" si="31"/>
        <v>63560.153794161553</v>
      </c>
      <c r="Q50" s="310">
        <f t="shared" si="31"/>
        <v>60497.013852274249</v>
      </c>
      <c r="R50" s="310">
        <f t="shared" si="31"/>
        <v>57433.873910386945</v>
      </c>
      <c r="S50" s="310">
        <f t="shared" si="31"/>
        <v>54370.73396849964</v>
      </c>
      <c r="T50" s="310">
        <f t="shared" si="31"/>
        <v>51307.594026612336</v>
      </c>
      <c r="U50" s="310">
        <f t="shared" si="31"/>
        <v>48244.454084725032</v>
      </c>
      <c r="V50" s="310">
        <f t="shared" si="31"/>
        <v>45181.314142837728</v>
      </c>
      <c r="W50" s="310">
        <f t="shared" si="31"/>
        <v>42118.174200950423</v>
      </c>
      <c r="X50" s="310">
        <f t="shared" si="31"/>
        <v>39055.034259063119</v>
      </c>
      <c r="Y50" s="310">
        <f t="shared" si="31"/>
        <v>35991.894317175815</v>
      </c>
      <c r="Z50" s="310">
        <f t="shared" ref="Z50:AH50" si="32">Y50-Z48</f>
        <v>32928.75437528851</v>
      </c>
      <c r="AA50" s="310">
        <f t="shared" si="32"/>
        <v>29865.614433401206</v>
      </c>
      <c r="AB50" s="310">
        <f t="shared" si="32"/>
        <v>26802.474491513902</v>
      </c>
      <c r="AC50" s="310">
        <f t="shared" si="32"/>
        <v>23739.334549626597</v>
      </c>
      <c r="AD50" s="310">
        <f t="shared" si="32"/>
        <v>20676.194607739293</v>
      </c>
      <c r="AE50" s="310">
        <f t="shared" si="32"/>
        <v>17613.054665851989</v>
      </c>
      <c r="AF50" s="310">
        <f t="shared" si="32"/>
        <v>14549.914723964685</v>
      </c>
      <c r="AG50" s="310">
        <f t="shared" si="32"/>
        <v>11486.77478207738</v>
      </c>
      <c r="AH50" s="310">
        <f t="shared" si="32"/>
        <v>10210.466472957671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-535.3026496692878</v>
      </c>
      <c r="C10" s="19">
        <f>IS!D40</f>
        <v>-901.4626919742268</v>
      </c>
      <c r="D10" s="19">
        <f>IS!E40</f>
        <v>-858.36522170331227</v>
      </c>
      <c r="E10" s="19">
        <f>IS!F40</f>
        <v>511.4110717993899</v>
      </c>
      <c r="F10" s="19">
        <f>IS!G40</f>
        <v>1535.6916983059091</v>
      </c>
      <c r="G10" s="19">
        <f>IS!H40</f>
        <v>2463.9682569693214</v>
      </c>
      <c r="H10" s="19">
        <f>IS!I40</f>
        <v>3265.2331330987599</v>
      </c>
      <c r="I10" s="19">
        <f>IS!J40</f>
        <v>3695.8170679741861</v>
      </c>
      <c r="J10" s="19">
        <f>IS!K40</f>
        <v>4413.4071165892838</v>
      </c>
      <c r="K10" s="19">
        <f>IS!L40</f>
        <v>4932.296745364516</v>
      </c>
      <c r="L10" s="19">
        <f>IS!M40</f>
        <v>5761.422397872384</v>
      </c>
      <c r="M10" s="19">
        <f>IS!N40</f>
        <v>6385.9318811478479</v>
      </c>
      <c r="N10" s="19">
        <f>IS!O40</f>
        <v>7347.6155930340046</v>
      </c>
      <c r="O10" s="19">
        <f>IS!P40</f>
        <v>8098.8131395651726</v>
      </c>
      <c r="P10" s="19">
        <f>IS!Q40</f>
        <v>8910.1904348467015</v>
      </c>
      <c r="Q10" s="19">
        <f>IS!R40</f>
        <v>9783.2067423918761</v>
      </c>
      <c r="R10" s="19">
        <f>IS!S40</f>
        <v>10661.746042027111</v>
      </c>
      <c r="S10" s="19">
        <f>IS!T40</f>
        <v>10895.654166937309</v>
      </c>
      <c r="T10" s="19">
        <f>IS!U40</f>
        <v>10981.2518401174</v>
      </c>
      <c r="U10" s="19">
        <f>IS!V40</f>
        <v>11059.422458990346</v>
      </c>
      <c r="V10" s="19">
        <f>IS!W40</f>
        <v>1645.2415376262979</v>
      </c>
      <c r="W10" s="19">
        <f>IS!X40</f>
        <v>-5205.3164952671341</v>
      </c>
      <c r="X10" s="19">
        <f>IS!Y40</f>
        <v>-5356.5687399814215</v>
      </c>
      <c r="Y10" s="19">
        <f>IS!Z40</f>
        <v>-5578.4399091975929</v>
      </c>
      <c r="Z10" s="19">
        <f>IS!AA40</f>
        <v>-5820.629057614784</v>
      </c>
      <c r="AA10" s="19">
        <f>IS!AB40</f>
        <v>-6084.2802346414201</v>
      </c>
      <c r="AB10" s="19">
        <f>IS!AC40</f>
        <v>-6371.605223273973</v>
      </c>
      <c r="AC10" s="19">
        <f>IS!AD40</f>
        <v>-6684.4365148935531</v>
      </c>
      <c r="AD10" s="19">
        <f>IS!AE40</f>
        <v>-7025.6496482712182</v>
      </c>
      <c r="AE10" s="19">
        <f>IS!AF40</f>
        <v>-7396.9395776789834</v>
      </c>
      <c r="AF10" s="19">
        <f>IS!AG40</f>
        <v>-6072.8602243879122</v>
      </c>
    </row>
    <row r="11" spans="1:32">
      <c r="A11" s="21" t="s">
        <v>70</v>
      </c>
      <c r="B11" s="19">
        <f>IS!C34</f>
        <v>2345.4316327675947</v>
      </c>
      <c r="C11" s="19">
        <f>IS!D34</f>
        <v>4020.7399418873047</v>
      </c>
      <c r="D11" s="19">
        <f>IS!E34</f>
        <v>4020.7399418873047</v>
      </c>
      <c r="E11" s="19">
        <f>IS!F34</f>
        <v>4020.7399418873047</v>
      </c>
      <c r="F11" s="19">
        <f>IS!G34</f>
        <v>4020.7399418873047</v>
      </c>
      <c r="G11" s="19">
        <f>IS!H34</f>
        <v>3462.1399418873043</v>
      </c>
      <c r="H11" s="19">
        <f>IS!I34</f>
        <v>3063.1399418873043</v>
      </c>
      <c r="I11" s="19">
        <f>IS!J34</f>
        <v>3063.1399418873043</v>
      </c>
      <c r="J11" s="19">
        <f>IS!K34</f>
        <v>3063.1399418873043</v>
      </c>
      <c r="K11" s="19">
        <f>IS!L34</f>
        <v>3063.1399418873043</v>
      </c>
      <c r="L11" s="19">
        <f>IS!M34</f>
        <v>3063.1399418873043</v>
      </c>
      <c r="M11" s="19">
        <f>IS!N34</f>
        <v>3063.1399418873043</v>
      </c>
      <c r="N11" s="19">
        <f>IS!O34</f>
        <v>3063.1399418873043</v>
      </c>
      <c r="O11" s="19">
        <f>IS!P34</f>
        <v>3063.1399418873043</v>
      </c>
      <c r="P11" s="19">
        <f>IS!Q34</f>
        <v>3063.1399418873043</v>
      </c>
      <c r="Q11" s="19">
        <f>IS!R34</f>
        <v>3063.1399418873043</v>
      </c>
      <c r="R11" s="19">
        <f>IS!S34</f>
        <v>3063.1399418873043</v>
      </c>
      <c r="S11" s="19">
        <f>IS!T34</f>
        <v>3063.1399418873043</v>
      </c>
      <c r="T11" s="19">
        <f>IS!U34</f>
        <v>3063.1399418873043</v>
      </c>
      <c r="U11" s="19">
        <f>IS!V34</f>
        <v>3063.1399418873043</v>
      </c>
      <c r="V11" s="19">
        <f>IS!W34</f>
        <v>3063.1399418873043</v>
      </c>
      <c r="W11" s="19">
        <f>IS!X34</f>
        <v>3063.1399418873043</v>
      </c>
      <c r="X11" s="19">
        <f>IS!Y34</f>
        <v>3063.1399418873043</v>
      </c>
      <c r="Y11" s="19">
        <f>IS!Z34</f>
        <v>3063.1399418873043</v>
      </c>
      <c r="Z11" s="19">
        <f>IS!AA34</f>
        <v>3063.1399418873043</v>
      </c>
      <c r="AA11" s="19">
        <f>IS!AB34</f>
        <v>3063.1399418873043</v>
      </c>
      <c r="AB11" s="19">
        <f>IS!AC34</f>
        <v>3063.1399418873043</v>
      </c>
      <c r="AC11" s="19">
        <f>IS!AD34</f>
        <v>3063.1399418873043</v>
      </c>
      <c r="AD11" s="19">
        <f>IS!AE34</f>
        <v>3063.1399418873043</v>
      </c>
      <c r="AE11" s="19">
        <f>IS!AF34</f>
        <v>3063.1399418873043</v>
      </c>
      <c r="AF11" s="19">
        <f>IS!AG34</f>
        <v>1276.30830911971</v>
      </c>
    </row>
    <row r="12" spans="1:32" ht="15">
      <c r="A12" s="21" t="s">
        <v>71</v>
      </c>
      <c r="B12" s="131">
        <f>-Depreciation!D34</f>
        <v>-5663.8332364788421</v>
      </c>
      <c r="C12" s="131">
        <f>-Depreciation!E34</f>
        <v>-10657.543149309799</v>
      </c>
      <c r="D12" s="131">
        <f>-Depreciation!F34</f>
        <v>-9687.5488343788184</v>
      </c>
      <c r="E12" s="131">
        <f>-Depreciation!G34</f>
        <v>-8819.6591841774152</v>
      </c>
      <c r="F12" s="131">
        <f>-Depreciation!H34</f>
        <v>-8033.4532657596737</v>
      </c>
      <c r="G12" s="131">
        <f>-Depreciation!I34</f>
        <v>-6760.1206126526358</v>
      </c>
      <c r="H12" s="131">
        <f>-Depreciation!J34</f>
        <v>-6024.1752190450325</v>
      </c>
      <c r="I12" s="131">
        <f>-Depreciation!K34</f>
        <v>-6034.3856855179902</v>
      </c>
      <c r="J12" s="131">
        <f>-Depreciation!L34</f>
        <v>-6024.1752190450325</v>
      </c>
      <c r="K12" s="131">
        <f>-Depreciation!M34</f>
        <v>-6034.3856855179902</v>
      </c>
      <c r="L12" s="131">
        <f>-Depreciation!N34</f>
        <v>-6024.1752190450325</v>
      </c>
      <c r="M12" s="131">
        <f>-Depreciation!O34</f>
        <v>-6034.3856855179902</v>
      </c>
      <c r="N12" s="131">
        <f>-Depreciation!P34</f>
        <v>-6024.1752190450325</v>
      </c>
      <c r="O12" s="131">
        <f>-Depreciation!Q34</f>
        <v>-6034.3856855179902</v>
      </c>
      <c r="P12" s="131">
        <f>-Depreciation!R34</f>
        <v>-6024.1752190450325</v>
      </c>
      <c r="Q12" s="131">
        <f>-Depreciation!S34</f>
        <v>-3012.0876095225162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-3853.7042533805352</v>
      </c>
      <c r="C13" s="23">
        <f t="shared" ref="C13:W13" si="0">SUM(C10:C12)</f>
        <v>-7538.2658993967207</v>
      </c>
      <c r="D13" s="23">
        <f t="shared" si="0"/>
        <v>-6525.174114194826</v>
      </c>
      <c r="E13" s="23">
        <f t="shared" si="0"/>
        <v>-4287.5081704907207</v>
      </c>
      <c r="F13" s="23">
        <f t="shared" si="0"/>
        <v>-2477.02162556646</v>
      </c>
      <c r="G13" s="23">
        <f t="shared" si="0"/>
        <v>-834.01241379601015</v>
      </c>
      <c r="H13" s="23">
        <f t="shared" si="0"/>
        <v>304.19785594103178</v>
      </c>
      <c r="I13" s="23">
        <f t="shared" si="0"/>
        <v>724.57132434350024</v>
      </c>
      <c r="J13" s="23">
        <f t="shared" si="0"/>
        <v>1452.3718394315556</v>
      </c>
      <c r="K13" s="23">
        <f t="shared" si="0"/>
        <v>1961.0510017338302</v>
      </c>
      <c r="L13" s="23">
        <f t="shared" si="0"/>
        <v>2800.3871207146558</v>
      </c>
      <c r="M13" s="23">
        <f t="shared" si="0"/>
        <v>3414.686137517162</v>
      </c>
      <c r="N13" s="23">
        <f t="shared" si="0"/>
        <v>4386.5803158762765</v>
      </c>
      <c r="O13" s="23">
        <f t="shared" si="0"/>
        <v>5127.5673959344867</v>
      </c>
      <c r="P13" s="23">
        <f t="shared" si="0"/>
        <v>5949.1551576889733</v>
      </c>
      <c r="Q13" s="23">
        <f t="shared" si="0"/>
        <v>9834.2590747566646</v>
      </c>
      <c r="R13" s="23">
        <f t="shared" si="0"/>
        <v>13724.885983914415</v>
      </c>
      <c r="S13" s="23">
        <f t="shared" si="0"/>
        <v>13958.794108824613</v>
      </c>
      <c r="T13" s="23">
        <f t="shared" si="0"/>
        <v>14044.391782004705</v>
      </c>
      <c r="U13" s="23">
        <f t="shared" si="0"/>
        <v>14122.56240087765</v>
      </c>
      <c r="V13" s="23">
        <f t="shared" si="0"/>
        <v>4708.3814795136022</v>
      </c>
      <c r="W13" s="23">
        <f t="shared" si="0"/>
        <v>-2142.1765533798298</v>
      </c>
      <c r="X13" s="23">
        <f t="shared" ref="X13:AF13" si="1">SUM(X10:X12)</f>
        <v>-2293.4287980941172</v>
      </c>
      <c r="Y13" s="23">
        <f t="shared" si="1"/>
        <v>-2515.2999673102886</v>
      </c>
      <c r="Z13" s="23">
        <f t="shared" si="1"/>
        <v>-2757.4891157274797</v>
      </c>
      <c r="AA13" s="23">
        <f t="shared" si="1"/>
        <v>-3021.1402927541158</v>
      </c>
      <c r="AB13" s="23">
        <f t="shared" si="1"/>
        <v>-3308.4652813866687</v>
      </c>
      <c r="AC13" s="23">
        <f t="shared" si="1"/>
        <v>-3621.2965730062488</v>
      </c>
      <c r="AD13" s="23">
        <f t="shared" si="1"/>
        <v>-3962.5097063839139</v>
      </c>
      <c r="AE13" s="23">
        <f t="shared" si="1"/>
        <v>-4333.7996357916791</v>
      </c>
      <c r="AF13" s="23">
        <f t="shared" si="1"/>
        <v>-4796.5519152682027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-269.75929773663751</v>
      </c>
      <c r="C16" s="19">
        <f t="shared" si="2"/>
        <v>-527.6786129577705</v>
      </c>
      <c r="D16" s="19">
        <f t="shared" si="2"/>
        <v>-456.76218799363784</v>
      </c>
      <c r="E16" s="19">
        <f t="shared" si="2"/>
        <v>-300.12557193435049</v>
      </c>
      <c r="F16" s="19">
        <f t="shared" si="2"/>
        <v>-173.39151378965221</v>
      </c>
      <c r="G16" s="19">
        <f t="shared" si="2"/>
        <v>-58.380868965720715</v>
      </c>
      <c r="H16" s="19">
        <f t="shared" si="2"/>
        <v>21.293849915872226</v>
      </c>
      <c r="I16" s="19">
        <f t="shared" si="2"/>
        <v>50.719992704045019</v>
      </c>
      <c r="J16" s="19">
        <f t="shared" si="2"/>
        <v>101.6660287602089</v>
      </c>
      <c r="K16" s="19">
        <f t="shared" si="2"/>
        <v>137.27357012136812</v>
      </c>
      <c r="L16" s="19">
        <f t="shared" si="2"/>
        <v>196.02709845002593</v>
      </c>
      <c r="M16" s="19">
        <f t="shared" si="2"/>
        <v>239.02802962620137</v>
      </c>
      <c r="N16" s="19">
        <f t="shared" si="2"/>
        <v>307.0606221113394</v>
      </c>
      <c r="O16" s="19">
        <f t="shared" si="2"/>
        <v>358.92971771541409</v>
      </c>
      <c r="P16" s="19">
        <f t="shared" si="2"/>
        <v>416.44086103822815</v>
      </c>
      <c r="Q16" s="19">
        <f t="shared" si="2"/>
        <v>688.39813523296664</v>
      </c>
      <c r="R16" s="19">
        <f t="shared" si="2"/>
        <v>960.7420188740092</v>
      </c>
      <c r="S16" s="19">
        <f t="shared" si="2"/>
        <v>977.11558761772301</v>
      </c>
      <c r="T16" s="19">
        <f t="shared" si="2"/>
        <v>983.10742474032941</v>
      </c>
      <c r="U16" s="19">
        <f t="shared" si="2"/>
        <v>988.57936806143562</v>
      </c>
      <c r="V16" s="19">
        <f t="shared" si="2"/>
        <v>329.58670356595218</v>
      </c>
      <c r="W16" s="19">
        <f t="shared" si="2"/>
        <v>-149.95235873658811</v>
      </c>
      <c r="X16" s="19">
        <f t="shared" si="2"/>
        <v>-160.54001586658822</v>
      </c>
      <c r="Y16" s="19">
        <f t="shared" si="2"/>
        <v>-176.07099771172022</v>
      </c>
      <c r="Z16" s="19">
        <f t="shared" si="2"/>
        <v>-193.02423810092358</v>
      </c>
      <c r="AA16" s="19">
        <f t="shared" si="2"/>
        <v>-211.47982049278812</v>
      </c>
      <c r="AB16" s="19">
        <f t="shared" si="2"/>
        <v>-231.59256969706684</v>
      </c>
      <c r="AC16" s="19">
        <f t="shared" si="2"/>
        <v>-253.49076011043744</v>
      </c>
      <c r="AD16" s="19">
        <f t="shared" si="2"/>
        <v>-277.37567944687402</v>
      </c>
      <c r="AE16" s="19">
        <f t="shared" si="2"/>
        <v>-303.36597450541757</v>
      </c>
      <c r="AF16" s="19">
        <f t="shared" si="2"/>
        <v>-335.7586340687742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269.75929773663751</v>
      </c>
      <c r="D18" s="19">
        <f t="shared" ref="D18:W18" si="3">C22</f>
        <v>797.43791069440795</v>
      </c>
      <c r="E18" s="19">
        <f t="shared" si="3"/>
        <v>1254.2000986880457</v>
      </c>
      <c r="F18" s="19">
        <f t="shared" si="3"/>
        <v>1554.3256706223963</v>
      </c>
      <c r="G18" s="19">
        <f t="shared" si="3"/>
        <v>1727.7171844120485</v>
      </c>
      <c r="H18" s="19">
        <f t="shared" si="3"/>
        <v>1786.0980533777692</v>
      </c>
      <c r="I18" s="19">
        <f t="shared" si="3"/>
        <v>1764.804203461897</v>
      </c>
      <c r="J18" s="19">
        <f t="shared" si="3"/>
        <v>1714.0842107578519</v>
      </c>
      <c r="K18" s="19">
        <f t="shared" si="3"/>
        <v>1414.6727268809227</v>
      </c>
      <c r="L18" s="19">
        <f t="shared" si="3"/>
        <v>1121.1458702986306</v>
      </c>
      <c r="M18" s="19">
        <f t="shared" si="3"/>
        <v>925.11877184860464</v>
      </c>
      <c r="N18" s="19">
        <f t="shared" si="3"/>
        <v>686.09074222240326</v>
      </c>
      <c r="O18" s="19">
        <f t="shared" si="3"/>
        <v>379.03012011106387</v>
      </c>
      <c r="P18" s="19">
        <f>O22</f>
        <v>20.10040239564978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149.95235873658811</v>
      </c>
      <c r="Y18" s="19">
        <f t="shared" si="4"/>
        <v>310.49237460317636</v>
      </c>
      <c r="Z18" s="19">
        <f t="shared" si="4"/>
        <v>486.56337231489658</v>
      </c>
      <c r="AA18" s="19">
        <f t="shared" si="4"/>
        <v>679.58761041582011</v>
      </c>
      <c r="AB18" s="19">
        <f t="shared" si="4"/>
        <v>891.06743090860823</v>
      </c>
      <c r="AC18" s="19">
        <f t="shared" si="4"/>
        <v>1122.6600006056751</v>
      </c>
      <c r="AD18" s="19">
        <f t="shared" si="4"/>
        <v>1376.1507607161125</v>
      </c>
      <c r="AE18" s="19">
        <f t="shared" si="4"/>
        <v>1653.5264401629865</v>
      </c>
      <c r="AF18" s="19">
        <f t="shared" si="4"/>
        <v>1806.940055931816</v>
      </c>
    </row>
    <row r="19" spans="1:32">
      <c r="A19" s="21" t="s">
        <v>75</v>
      </c>
      <c r="B19" s="140">
        <f>IF(B16&lt;0,-B16,0)</f>
        <v>269.75929773663751</v>
      </c>
      <c r="C19" s="140">
        <f t="shared" ref="C19:W19" si="5">IF(C16&lt;0,-C16,0)</f>
        <v>527.6786129577705</v>
      </c>
      <c r="D19" s="140">
        <f t="shared" si="5"/>
        <v>456.76218799363784</v>
      </c>
      <c r="E19" s="140">
        <f t="shared" si="5"/>
        <v>300.12557193435049</v>
      </c>
      <c r="F19" s="140">
        <f t="shared" si="5"/>
        <v>173.39151378965221</v>
      </c>
      <c r="G19" s="140">
        <f t="shared" si="5"/>
        <v>58.380868965720715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149.95235873658811</v>
      </c>
      <c r="X19" s="140">
        <f t="shared" ref="X19:AF19" si="6">IF(X16&lt;0,-X16,0)</f>
        <v>160.54001586658822</v>
      </c>
      <c r="Y19" s="140">
        <f t="shared" si="6"/>
        <v>176.07099771172022</v>
      </c>
      <c r="Z19" s="140">
        <f t="shared" si="6"/>
        <v>193.02423810092358</v>
      </c>
      <c r="AA19" s="140">
        <f t="shared" si="6"/>
        <v>211.47982049278812</v>
      </c>
      <c r="AB19" s="140">
        <f t="shared" si="6"/>
        <v>231.59256969706684</v>
      </c>
      <c r="AC19" s="140">
        <f t="shared" si="6"/>
        <v>253.49076011043744</v>
      </c>
      <c r="AD19" s="140">
        <f t="shared" si="6"/>
        <v>277.37567944687402</v>
      </c>
      <c r="AE19" s="140">
        <f t="shared" si="6"/>
        <v>303.36597450541757</v>
      </c>
      <c r="AF19" s="140">
        <f t="shared" si="6"/>
        <v>335.7586340687742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-197.74545511672028</v>
      </c>
      <c r="K20" s="476">
        <f t="shared" ref="K20:AF20" si="7">IF(-SUM(C21:J21, C20:J20)&gt;C19,0,-C19-SUM(C21:J21,C20:J20))</f>
        <v>-156.25328646092407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-149.95235873658811</v>
      </c>
      <c r="AF20" s="476">
        <f t="shared" si="7"/>
        <v>-10.58765713000011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-21.293849915872226</v>
      </c>
      <c r="I21" s="133">
        <f t="shared" si="8"/>
        <v>-50.719992704045019</v>
      </c>
      <c r="J21" s="133">
        <f t="shared" si="8"/>
        <v>-101.6660287602089</v>
      </c>
      <c r="K21" s="133">
        <f t="shared" si="8"/>
        <v>-137.27357012136812</v>
      </c>
      <c r="L21" s="133">
        <f t="shared" si="8"/>
        <v>-196.02709845002593</v>
      </c>
      <c r="M21" s="133">
        <f t="shared" si="8"/>
        <v>-239.02802962620137</v>
      </c>
      <c r="N21" s="133">
        <f t="shared" si="8"/>
        <v>-307.0606221113394</v>
      </c>
      <c r="O21" s="133">
        <f t="shared" si="8"/>
        <v>-358.92971771541409</v>
      </c>
      <c r="P21" s="133">
        <f t="shared" si="8"/>
        <v>-20.10040239564978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269.75929773663751</v>
      </c>
      <c r="C22" s="133">
        <f t="shared" si="10"/>
        <v>797.43791069440795</v>
      </c>
      <c r="D22" s="133">
        <f t="shared" si="10"/>
        <v>1254.2000986880457</v>
      </c>
      <c r="E22" s="133">
        <f t="shared" si="10"/>
        <v>1554.3256706223963</v>
      </c>
      <c r="F22" s="133">
        <f t="shared" si="10"/>
        <v>1727.7171844120485</v>
      </c>
      <c r="G22" s="133">
        <f t="shared" si="10"/>
        <v>1786.0980533777692</v>
      </c>
      <c r="H22" s="133">
        <f t="shared" si="10"/>
        <v>1764.804203461897</v>
      </c>
      <c r="I22" s="133">
        <f t="shared" si="10"/>
        <v>1714.0842107578519</v>
      </c>
      <c r="J22" s="133">
        <f t="shared" si="10"/>
        <v>1414.6727268809227</v>
      </c>
      <c r="K22" s="133">
        <f t="shared" si="10"/>
        <v>1121.1458702986306</v>
      </c>
      <c r="L22" s="133">
        <f t="shared" si="10"/>
        <v>925.11877184860464</v>
      </c>
      <c r="M22" s="133">
        <f t="shared" si="10"/>
        <v>686.09074222240326</v>
      </c>
      <c r="N22" s="133">
        <f t="shared" si="10"/>
        <v>379.03012011106387</v>
      </c>
      <c r="O22" s="133">
        <f t="shared" si="10"/>
        <v>20.10040239564978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149.95235873658811</v>
      </c>
      <c r="X22" s="133">
        <f t="shared" si="10"/>
        <v>310.49237460317636</v>
      </c>
      <c r="Y22" s="133">
        <f t="shared" si="10"/>
        <v>486.56337231489658</v>
      </c>
      <c r="Z22" s="133">
        <f t="shared" si="10"/>
        <v>679.58761041582011</v>
      </c>
      <c r="AA22" s="133">
        <f t="shared" si="10"/>
        <v>891.06743090860823</v>
      </c>
      <c r="AB22" s="133">
        <f t="shared" si="10"/>
        <v>1122.6600006056751</v>
      </c>
      <c r="AC22" s="133">
        <f t="shared" si="10"/>
        <v>1376.1507607161125</v>
      </c>
      <c r="AD22" s="133">
        <f t="shared" si="10"/>
        <v>1653.5264401629865</v>
      </c>
      <c r="AE22" s="133">
        <f t="shared" si="10"/>
        <v>1806.940055931816</v>
      </c>
      <c r="AF22" s="133">
        <f t="shared" si="10"/>
        <v>2132.1110328705904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396.34045864257837</v>
      </c>
      <c r="Q24" s="137">
        <f t="shared" si="11"/>
        <v>688.39813523296664</v>
      </c>
      <c r="R24" s="137">
        <f t="shared" si="11"/>
        <v>960.7420188740092</v>
      </c>
      <c r="S24" s="137">
        <f t="shared" si="11"/>
        <v>977.11558761772301</v>
      </c>
      <c r="T24" s="137">
        <f t="shared" si="11"/>
        <v>983.10742474032941</v>
      </c>
      <c r="U24" s="137">
        <f t="shared" si="11"/>
        <v>988.57936806143562</v>
      </c>
      <c r="V24" s="137">
        <f t="shared" si="11"/>
        <v>329.58670356595218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-3853.7042533805352</v>
      </c>
      <c r="C28" s="19">
        <f t="shared" ref="C28:AF28" si="12">C13</f>
        <v>-7538.2658993967207</v>
      </c>
      <c r="D28" s="19">
        <f t="shared" si="12"/>
        <v>-6525.174114194826</v>
      </c>
      <c r="E28" s="19">
        <f t="shared" si="12"/>
        <v>-4287.5081704907207</v>
      </c>
      <c r="F28" s="19">
        <f t="shared" si="12"/>
        <v>-2477.02162556646</v>
      </c>
      <c r="G28" s="19">
        <f t="shared" si="12"/>
        <v>-834.01241379601015</v>
      </c>
      <c r="H28" s="19">
        <f t="shared" si="12"/>
        <v>304.19785594103178</v>
      </c>
      <c r="I28" s="19">
        <f t="shared" si="12"/>
        <v>724.57132434350024</v>
      </c>
      <c r="J28" s="19">
        <f t="shared" si="12"/>
        <v>1452.3718394315556</v>
      </c>
      <c r="K28" s="19">
        <f t="shared" si="12"/>
        <v>1961.0510017338302</v>
      </c>
      <c r="L28" s="19">
        <f t="shared" si="12"/>
        <v>2800.3871207146558</v>
      </c>
      <c r="M28" s="19">
        <f t="shared" si="12"/>
        <v>3414.686137517162</v>
      </c>
      <c r="N28" s="19">
        <f t="shared" si="12"/>
        <v>4386.5803158762765</v>
      </c>
      <c r="O28" s="19">
        <f t="shared" si="12"/>
        <v>5127.5673959344867</v>
      </c>
      <c r="P28" s="19">
        <f t="shared" si="12"/>
        <v>5949.1551576889733</v>
      </c>
      <c r="Q28" s="19">
        <f t="shared" si="12"/>
        <v>9834.2590747566646</v>
      </c>
      <c r="R28" s="19">
        <f t="shared" si="12"/>
        <v>13724.885983914415</v>
      </c>
      <c r="S28" s="19">
        <f t="shared" si="12"/>
        <v>13958.794108824613</v>
      </c>
      <c r="T28" s="19">
        <f t="shared" si="12"/>
        <v>14044.391782004705</v>
      </c>
      <c r="U28" s="19">
        <f t="shared" si="12"/>
        <v>14122.56240087765</v>
      </c>
      <c r="V28" s="19">
        <f t="shared" si="12"/>
        <v>4708.3814795136022</v>
      </c>
      <c r="W28" s="19">
        <f t="shared" si="12"/>
        <v>-2142.1765533798298</v>
      </c>
      <c r="X28" s="19">
        <f t="shared" si="12"/>
        <v>-2293.4287980941172</v>
      </c>
      <c r="Y28" s="19">
        <f t="shared" si="12"/>
        <v>-2515.2999673102886</v>
      </c>
      <c r="Z28" s="19">
        <f t="shared" si="12"/>
        <v>-2757.4891157274797</v>
      </c>
      <c r="AA28" s="19">
        <f t="shared" si="12"/>
        <v>-3021.1402927541158</v>
      </c>
      <c r="AB28" s="19">
        <f t="shared" si="12"/>
        <v>-3308.4652813866687</v>
      </c>
      <c r="AC28" s="19">
        <f t="shared" si="12"/>
        <v>-3621.2965730062488</v>
      </c>
      <c r="AD28" s="19">
        <f t="shared" si="12"/>
        <v>-3962.5097063839139</v>
      </c>
      <c r="AE28" s="19">
        <f t="shared" si="12"/>
        <v>-4333.7996357916791</v>
      </c>
      <c r="AF28" s="19">
        <f t="shared" si="12"/>
        <v>-4796.5519152682027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-396.34045864257837</v>
      </c>
      <c r="Q29" s="135">
        <f t="shared" si="13"/>
        <v>-688.39813523296664</v>
      </c>
      <c r="R29" s="135">
        <f t="shared" si="13"/>
        <v>-960.7420188740092</v>
      </c>
      <c r="S29" s="135">
        <f t="shared" si="13"/>
        <v>-977.11558761772301</v>
      </c>
      <c r="T29" s="135">
        <f t="shared" si="13"/>
        <v>-983.10742474032941</v>
      </c>
      <c r="U29" s="135">
        <f t="shared" si="13"/>
        <v>-988.57936806143562</v>
      </c>
      <c r="V29" s="135">
        <f t="shared" si="13"/>
        <v>-329.58670356595218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-3853.7042533805352</v>
      </c>
      <c r="C30" s="44">
        <f t="shared" si="14"/>
        <v>-7538.2658993967207</v>
      </c>
      <c r="D30" s="44">
        <f t="shared" si="14"/>
        <v>-6525.174114194826</v>
      </c>
      <c r="E30" s="44">
        <f t="shared" si="14"/>
        <v>-4287.5081704907207</v>
      </c>
      <c r="F30" s="44">
        <f t="shared" si="14"/>
        <v>-2477.02162556646</v>
      </c>
      <c r="G30" s="44">
        <f t="shared" si="14"/>
        <v>-834.01241379601015</v>
      </c>
      <c r="H30" s="44">
        <f t="shared" si="14"/>
        <v>304.19785594103178</v>
      </c>
      <c r="I30" s="44">
        <f t="shared" si="14"/>
        <v>724.57132434350024</v>
      </c>
      <c r="J30" s="44">
        <f t="shared" si="14"/>
        <v>1452.3718394315556</v>
      </c>
      <c r="K30" s="44">
        <f t="shared" si="14"/>
        <v>1961.0510017338302</v>
      </c>
      <c r="L30" s="44">
        <f t="shared" si="14"/>
        <v>2800.3871207146558</v>
      </c>
      <c r="M30" s="44">
        <f t="shared" si="14"/>
        <v>3414.686137517162</v>
      </c>
      <c r="N30" s="44">
        <f t="shared" si="14"/>
        <v>4386.5803158762765</v>
      </c>
      <c r="O30" s="44">
        <f t="shared" si="14"/>
        <v>5127.5673959344867</v>
      </c>
      <c r="P30" s="44">
        <f t="shared" si="14"/>
        <v>5552.8146990463947</v>
      </c>
      <c r="Q30" s="44">
        <f t="shared" si="14"/>
        <v>9145.8609395236981</v>
      </c>
      <c r="R30" s="44">
        <f t="shared" si="14"/>
        <v>12764.143965040406</v>
      </c>
      <c r="S30" s="44">
        <f t="shared" si="14"/>
        <v>12981.67852120689</v>
      </c>
      <c r="T30" s="44">
        <f t="shared" si="14"/>
        <v>13061.284357264376</v>
      </c>
      <c r="U30" s="44">
        <f t="shared" si="14"/>
        <v>13133.983032816215</v>
      </c>
      <c r="V30" s="44">
        <f t="shared" si="14"/>
        <v>4378.7947759476501</v>
      </c>
      <c r="W30" s="44">
        <f t="shared" si="14"/>
        <v>-2142.1765533798298</v>
      </c>
      <c r="X30" s="44">
        <f t="shared" si="14"/>
        <v>-2293.4287980941172</v>
      </c>
      <c r="Y30" s="44">
        <f t="shared" si="14"/>
        <v>-2515.2999673102886</v>
      </c>
      <c r="Z30" s="44">
        <f t="shared" si="14"/>
        <v>-2757.4891157274797</v>
      </c>
      <c r="AA30" s="44">
        <f t="shared" si="14"/>
        <v>-3021.1402927541158</v>
      </c>
      <c r="AB30" s="44">
        <f t="shared" si="14"/>
        <v>-3308.4652813866687</v>
      </c>
      <c r="AC30" s="44">
        <f t="shared" si="14"/>
        <v>-3621.2965730062488</v>
      </c>
      <c r="AD30" s="44">
        <f t="shared" si="14"/>
        <v>-3962.5097063839139</v>
      </c>
      <c r="AE30" s="44">
        <f t="shared" si="14"/>
        <v>-4333.7996357916791</v>
      </c>
      <c r="AF30" s="44">
        <f t="shared" si="14"/>
        <v>-4796.5519152682027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-1348.7964886831871</v>
      </c>
      <c r="C33" s="19">
        <f t="shared" ref="C33:W33" si="15">C30*C32</f>
        <v>-2638.3930647888519</v>
      </c>
      <c r="D33" s="19">
        <f t="shared" si="15"/>
        <v>-2283.8109399681889</v>
      </c>
      <c r="E33" s="19">
        <f t="shared" si="15"/>
        <v>-1500.627859671752</v>
      </c>
      <c r="F33" s="19">
        <f t="shared" si="15"/>
        <v>-866.95756894826093</v>
      </c>
      <c r="G33" s="19">
        <f t="shared" si="15"/>
        <v>-291.90434482860354</v>
      </c>
      <c r="H33" s="19">
        <f t="shared" si="15"/>
        <v>106.46924957936112</v>
      </c>
      <c r="I33" s="19">
        <f t="shared" si="15"/>
        <v>253.59996352022506</v>
      </c>
      <c r="J33" s="19">
        <f t="shared" si="15"/>
        <v>508.33014380104441</v>
      </c>
      <c r="K33" s="19">
        <f t="shared" si="15"/>
        <v>686.36785060684053</v>
      </c>
      <c r="L33" s="19">
        <f t="shared" si="15"/>
        <v>980.13549225012946</v>
      </c>
      <c r="M33" s="19">
        <f t="shared" si="15"/>
        <v>1195.1401481310065</v>
      </c>
      <c r="N33" s="19">
        <f t="shared" si="15"/>
        <v>1535.3031105566968</v>
      </c>
      <c r="O33" s="19">
        <f t="shared" si="15"/>
        <v>1794.6485885770703</v>
      </c>
      <c r="P33" s="19">
        <f t="shared" si="15"/>
        <v>1943.4851446662381</v>
      </c>
      <c r="Q33" s="19">
        <f t="shared" si="15"/>
        <v>3201.0513288332941</v>
      </c>
      <c r="R33" s="19">
        <f t="shared" si="15"/>
        <v>4467.4503877641419</v>
      </c>
      <c r="S33" s="19">
        <f t="shared" si="15"/>
        <v>4543.5874824224111</v>
      </c>
      <c r="T33" s="19">
        <f t="shared" si="15"/>
        <v>4571.4495250425316</v>
      </c>
      <c r="U33" s="19">
        <f t="shared" si="15"/>
        <v>4596.8940614856747</v>
      </c>
      <c r="V33" s="19">
        <f t="shared" si="15"/>
        <v>1532.5781715816775</v>
      </c>
      <c r="W33" s="19">
        <f t="shared" si="15"/>
        <v>-749.76179368294038</v>
      </c>
      <c r="X33" s="19">
        <f t="shared" ref="X33:AF33" si="16">X30*X32</f>
        <v>-802.70007933294096</v>
      </c>
      <c r="Y33" s="19">
        <f t="shared" si="16"/>
        <v>-880.35498855860101</v>
      </c>
      <c r="Z33" s="19">
        <f t="shared" si="16"/>
        <v>-965.12119050461786</v>
      </c>
      <c r="AA33" s="19">
        <f t="shared" si="16"/>
        <v>-1057.3991024639404</v>
      </c>
      <c r="AB33" s="19">
        <f t="shared" si="16"/>
        <v>-1157.962848485334</v>
      </c>
      <c r="AC33" s="19">
        <f t="shared" si="16"/>
        <v>-1267.453800552187</v>
      </c>
      <c r="AD33" s="19">
        <f t="shared" si="16"/>
        <v>-1386.8783972343697</v>
      </c>
      <c r="AE33" s="19">
        <f t="shared" si="16"/>
        <v>-1516.8298725270877</v>
      </c>
      <c r="AF33" s="19">
        <f t="shared" si="16"/>
        <v>-1678.7931703438708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1348.7964886831871</v>
      </c>
      <c r="D35" s="19">
        <f t="shared" si="17"/>
        <v>3987.1895534720388</v>
      </c>
      <c r="E35" s="19">
        <f t="shared" si="17"/>
        <v>6271.0004934402277</v>
      </c>
      <c r="F35" s="19">
        <f t="shared" si="17"/>
        <v>7771.6283531119798</v>
      </c>
      <c r="G35" s="19">
        <f t="shared" si="17"/>
        <v>8638.5859220602415</v>
      </c>
      <c r="H35" s="19">
        <f t="shared" si="17"/>
        <v>8930.4902668888444</v>
      </c>
      <c r="I35" s="19">
        <f t="shared" si="17"/>
        <v>8824.0210173094838</v>
      </c>
      <c r="J35" s="19">
        <f t="shared" si="17"/>
        <v>8570.4210537892595</v>
      </c>
      <c r="K35" s="19">
        <f t="shared" si="17"/>
        <v>8062.0909099882156</v>
      </c>
      <c r="L35" s="19">
        <f t="shared" si="17"/>
        <v>7375.7230593813747</v>
      </c>
      <c r="M35" s="19">
        <f t="shared" si="17"/>
        <v>6395.5875671312451</v>
      </c>
      <c r="N35" s="19">
        <f t="shared" si="17"/>
        <v>5200.4474190002384</v>
      </c>
      <c r="O35" s="19">
        <f t="shared" si="17"/>
        <v>3665.1443084435414</v>
      </c>
      <c r="P35" s="19">
        <f t="shared" si="17"/>
        <v>1870.4957198664711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749.76179368294038</v>
      </c>
      <c r="Y35" s="19">
        <f t="shared" si="18"/>
        <v>1552.4618730158813</v>
      </c>
      <c r="Z35" s="19">
        <f t="shared" si="18"/>
        <v>2432.8168615744826</v>
      </c>
      <c r="AA35" s="19">
        <f t="shared" si="18"/>
        <v>3397.9380520791005</v>
      </c>
      <c r="AB35" s="19">
        <f t="shared" si="18"/>
        <v>4455.3371545430409</v>
      </c>
      <c r="AC35" s="19">
        <f t="shared" si="18"/>
        <v>5613.3000030283747</v>
      </c>
      <c r="AD35" s="19">
        <f t="shared" si="18"/>
        <v>6880.7538035805619</v>
      </c>
      <c r="AE35" s="19">
        <f t="shared" si="18"/>
        <v>8267.6322008149309</v>
      </c>
      <c r="AF35" s="19">
        <f t="shared" si="18"/>
        <v>9784.4620733420179</v>
      </c>
    </row>
    <row r="36" spans="1:32">
      <c r="A36" s="21" t="s">
        <v>75</v>
      </c>
      <c r="B36" s="140">
        <f>IF(B33&lt;0,-B33,0)</f>
        <v>1348.7964886831871</v>
      </c>
      <c r="C36" s="140">
        <f t="shared" ref="C36:AF36" si="19">IF(C33&lt;0,-C33,0)</f>
        <v>2638.3930647888519</v>
      </c>
      <c r="D36" s="140">
        <f t="shared" si="19"/>
        <v>2283.8109399681889</v>
      </c>
      <c r="E36" s="140">
        <f t="shared" si="19"/>
        <v>1500.627859671752</v>
      </c>
      <c r="F36" s="140">
        <f t="shared" si="19"/>
        <v>866.95756894826093</v>
      </c>
      <c r="G36" s="140">
        <f t="shared" si="19"/>
        <v>291.90434482860354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749.76179368294038</v>
      </c>
      <c r="X36" s="140">
        <f t="shared" si="19"/>
        <v>802.70007933294096</v>
      </c>
      <c r="Y36" s="140">
        <f t="shared" si="19"/>
        <v>880.35498855860101</v>
      </c>
      <c r="Z36" s="140">
        <f t="shared" si="19"/>
        <v>965.12119050461786</v>
      </c>
      <c r="AA36" s="140">
        <f t="shared" si="19"/>
        <v>1057.3991024639404</v>
      </c>
      <c r="AB36" s="140">
        <f t="shared" si="19"/>
        <v>1157.962848485334</v>
      </c>
      <c r="AC36" s="140">
        <f t="shared" si="19"/>
        <v>1267.453800552187</v>
      </c>
      <c r="AD36" s="140">
        <f t="shared" si="19"/>
        <v>1386.8783972343697</v>
      </c>
      <c r="AE36" s="140">
        <f t="shared" si="19"/>
        <v>1516.8298725270877</v>
      </c>
      <c r="AF36" s="140">
        <f t="shared" si="19"/>
        <v>1678.7931703438708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-106.46924957936112</v>
      </c>
      <c r="I38" s="133">
        <f t="shared" si="21"/>
        <v>-253.59996352022506</v>
      </c>
      <c r="J38" s="133">
        <f t="shared" si="21"/>
        <v>-508.33014380104441</v>
      </c>
      <c r="K38" s="133">
        <f t="shared" si="21"/>
        <v>-686.36785060684053</v>
      </c>
      <c r="L38" s="133">
        <f t="shared" si="21"/>
        <v>-980.13549225012946</v>
      </c>
      <c r="M38" s="133">
        <f t="shared" si="21"/>
        <v>-1195.1401481310065</v>
      </c>
      <c r="N38" s="133">
        <f t="shared" si="21"/>
        <v>-1535.3031105566968</v>
      </c>
      <c r="O38" s="133">
        <f t="shared" si="21"/>
        <v>-1794.6485885770703</v>
      </c>
      <c r="P38" s="133">
        <f t="shared" si="21"/>
        <v>-1870.4957198664711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1348.7964886831871</v>
      </c>
      <c r="C39" s="133">
        <f t="shared" si="23"/>
        <v>3987.1895534720388</v>
      </c>
      <c r="D39" s="133">
        <f t="shared" si="23"/>
        <v>6271.0004934402277</v>
      </c>
      <c r="E39" s="133">
        <f t="shared" si="23"/>
        <v>7771.6283531119798</v>
      </c>
      <c r="F39" s="133">
        <f t="shared" si="23"/>
        <v>8638.5859220602415</v>
      </c>
      <c r="G39" s="133">
        <f t="shared" si="23"/>
        <v>8930.4902668888444</v>
      </c>
      <c r="H39" s="133">
        <f t="shared" si="23"/>
        <v>8824.0210173094838</v>
      </c>
      <c r="I39" s="133">
        <f t="shared" si="23"/>
        <v>8570.4210537892595</v>
      </c>
      <c r="J39" s="133">
        <f t="shared" si="23"/>
        <v>8062.0909099882156</v>
      </c>
      <c r="K39" s="133">
        <f t="shared" si="23"/>
        <v>7375.7230593813747</v>
      </c>
      <c r="L39" s="133">
        <f t="shared" si="23"/>
        <v>6395.5875671312451</v>
      </c>
      <c r="M39" s="133">
        <f t="shared" si="23"/>
        <v>5200.4474190002384</v>
      </c>
      <c r="N39" s="133">
        <f t="shared" si="23"/>
        <v>3665.1443084435414</v>
      </c>
      <c r="O39" s="133">
        <f t="shared" si="23"/>
        <v>1870.4957198664711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749.76179368294038</v>
      </c>
      <c r="X39" s="133">
        <f t="shared" si="23"/>
        <v>1552.4618730158813</v>
      </c>
      <c r="Y39" s="133">
        <f t="shared" si="23"/>
        <v>2432.8168615744826</v>
      </c>
      <c r="Z39" s="133">
        <f t="shared" si="23"/>
        <v>3397.9380520791005</v>
      </c>
      <c r="AA39" s="133">
        <f t="shared" si="23"/>
        <v>4455.3371545430409</v>
      </c>
      <c r="AB39" s="133">
        <f t="shared" si="23"/>
        <v>5613.3000030283747</v>
      </c>
      <c r="AC39" s="133">
        <f t="shared" si="23"/>
        <v>6880.7538035805619</v>
      </c>
      <c r="AD39" s="133">
        <f t="shared" si="23"/>
        <v>8267.6322008149309</v>
      </c>
      <c r="AE39" s="133">
        <f t="shared" si="23"/>
        <v>9784.4620733420179</v>
      </c>
      <c r="AF39" s="133">
        <f t="shared" si="23"/>
        <v>11463.25524368589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72.989424799766994</v>
      </c>
      <c r="Q41" s="137">
        <f t="shared" si="24"/>
        <v>3201.0513288332941</v>
      </c>
      <c r="R41" s="137">
        <f t="shared" si="24"/>
        <v>4467.4503877641419</v>
      </c>
      <c r="S41" s="137">
        <f t="shared" si="24"/>
        <v>4543.5874824224111</v>
      </c>
      <c r="T41" s="137">
        <f t="shared" si="24"/>
        <v>4571.4495250425316</v>
      </c>
      <c r="U41" s="137">
        <f t="shared" si="24"/>
        <v>4596.8940614856747</v>
      </c>
      <c r="V41" s="137">
        <f t="shared" si="24"/>
        <v>1532.5781715816775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D15" sqref="D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v>9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D59*Assumptions!H12</f>
        <v>57041.798429326831</v>
      </c>
      <c r="E15" s="242">
        <f t="shared" ref="E15:E33" si="0">C15*$C$6</f>
        <v>2718.9</v>
      </c>
      <c r="F15" s="242">
        <f t="shared" ref="F15:F33" si="1">+E15+D15</f>
        <v>59760.698429326832</v>
      </c>
      <c r="G15" s="242">
        <f>F15+H15</f>
        <v>59760.698429326832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1087.56</v>
      </c>
      <c r="F16" s="242">
        <f t="shared" si="1"/>
        <v>1087.56</v>
      </c>
      <c r="G16" s="242">
        <f t="shared" ref="G16:G33" si="3">F16+G15+H16</f>
        <v>61271.563376534563</v>
      </c>
      <c r="H16" s="242">
        <f>IF(A16&gt;$C$7+1,0,G15*(B16-B15)*$D$8)</f>
        <v>423.30494720773174</v>
      </c>
      <c r="I16" s="242">
        <f>IF(A16&lt;=$C$7+1,H16+I15,I15)</f>
        <v>423.30494720773174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2175.12</v>
      </c>
      <c r="F17" s="242">
        <f t="shared" si="1"/>
        <v>2175.12</v>
      </c>
      <c r="G17" s="242">
        <f t="shared" si="3"/>
        <v>63895.157180693364</v>
      </c>
      <c r="H17" s="242">
        <f t="shared" ref="H17:H33" si="4">IF(A17&gt;$C$7+1,0,G16*(B17-B16)*$D$8)</f>
        <v>448.47380415880161</v>
      </c>
      <c r="I17" s="242">
        <f t="shared" ref="I17:I33" si="5">IF(A17&lt;=$C$7+1,H17+I16,I16)</f>
        <v>871.77875136653336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2718.9</v>
      </c>
      <c r="F18" s="242">
        <f t="shared" si="1"/>
        <v>2718.9</v>
      </c>
      <c r="G18" s="242">
        <f t="shared" si="3"/>
        <v>67066.647877389943</v>
      </c>
      <c r="H18" s="242">
        <f t="shared" si="4"/>
        <v>452.59069669657799</v>
      </c>
      <c r="I18" s="242">
        <f t="shared" si="5"/>
        <v>1324.3694480631113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2990.79</v>
      </c>
      <c r="F19" s="242">
        <f t="shared" si="1"/>
        <v>2990.79</v>
      </c>
      <c r="G19" s="242">
        <f t="shared" si="3"/>
        <v>70548.32848060361</v>
      </c>
      <c r="H19" s="242">
        <f t="shared" si="4"/>
        <v>490.89060321367361</v>
      </c>
      <c r="I19" s="242">
        <f t="shared" si="5"/>
        <v>1815.2600512767849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74055.493051565805</v>
      </c>
      <c r="H20" s="242">
        <f t="shared" si="4"/>
        <v>516.37457096219589</v>
      </c>
      <c r="I20" s="242">
        <f t="shared" si="5"/>
        <v>2331.6346222389807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2718.9</v>
      </c>
      <c r="F21" s="242">
        <f t="shared" si="1"/>
        <v>2718.9</v>
      </c>
      <c r="G21" s="242">
        <f t="shared" si="3"/>
        <v>77298.952794014389</v>
      </c>
      <c r="H21" s="242">
        <f t="shared" si="4"/>
        <v>524.55974244859112</v>
      </c>
      <c r="I21" s="242">
        <f t="shared" si="5"/>
        <v>2856.1943646875716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2175.12</v>
      </c>
      <c r="F22" s="242">
        <f t="shared" si="1"/>
        <v>2175.12</v>
      </c>
      <c r="G22" s="242">
        <f t="shared" si="3"/>
        <v>80039.858184603901</v>
      </c>
      <c r="H22" s="242">
        <f t="shared" si="4"/>
        <v>565.78539058952197</v>
      </c>
      <c r="I22" s="242">
        <f t="shared" si="5"/>
        <v>3421.9797552770933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1631.34</v>
      </c>
      <c r="F23" s="242">
        <f t="shared" si="1"/>
        <v>1631.34</v>
      </c>
      <c r="G23" s="242">
        <f t="shared" si="3"/>
        <v>82238.147180078173</v>
      </c>
      <c r="H23" s="242">
        <f t="shared" si="4"/>
        <v>566.94899547427758</v>
      </c>
      <c r="I23" s="242">
        <f t="shared" si="5"/>
        <v>3988.9287507513709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1631.34</v>
      </c>
      <c r="F24" s="242">
        <f t="shared" si="1"/>
        <v>1631.34</v>
      </c>
      <c r="G24" s="242">
        <f t="shared" si="3"/>
        <v>84471.4247295768</v>
      </c>
      <c r="H24" s="242">
        <f t="shared" si="4"/>
        <v>601.93754949862773</v>
      </c>
      <c r="I24" s="242">
        <f t="shared" si="5"/>
        <v>4590.8663002499989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815.67</v>
      </c>
      <c r="F25" s="242">
        <f t="shared" si="1"/>
        <v>815.67</v>
      </c>
      <c r="G25" s="242">
        <f t="shared" si="3"/>
        <v>85287.094729576798</v>
      </c>
      <c r="H25" s="242">
        <f t="shared" si="4"/>
        <v>0</v>
      </c>
      <c r="I25" s="242">
        <f t="shared" si="5"/>
        <v>4590.8663002499989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1087.56</v>
      </c>
      <c r="F26" s="242">
        <f t="shared" si="1"/>
        <v>1087.56</v>
      </c>
      <c r="G26" s="242">
        <f t="shared" si="3"/>
        <v>86374.654729576796</v>
      </c>
      <c r="H26" s="242">
        <f t="shared" si="4"/>
        <v>0</v>
      </c>
      <c r="I26" s="242">
        <f t="shared" si="5"/>
        <v>4590.8663002499989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1087.56</v>
      </c>
      <c r="F27" s="242">
        <f t="shared" si="1"/>
        <v>1087.56</v>
      </c>
      <c r="G27" s="242">
        <f t="shared" si="3"/>
        <v>87462.214729576794</v>
      </c>
      <c r="H27" s="242">
        <f t="shared" si="4"/>
        <v>0</v>
      </c>
      <c r="I27" s="242">
        <f t="shared" si="5"/>
        <v>4590.8663002499989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1359.45</v>
      </c>
      <c r="F28" s="242">
        <f t="shared" si="1"/>
        <v>1359.45</v>
      </c>
      <c r="G28" s="242">
        <f t="shared" si="3"/>
        <v>88821.664729576791</v>
      </c>
      <c r="H28" s="242">
        <f t="shared" si="4"/>
        <v>0</v>
      </c>
      <c r="I28" s="242">
        <f t="shared" si="5"/>
        <v>4590.8663002499989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88821.664729576791</v>
      </c>
      <c r="H29" s="242">
        <f t="shared" si="4"/>
        <v>0</v>
      </c>
      <c r="I29" s="242">
        <f t="shared" si="5"/>
        <v>4590.8663002499989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88821.664729576791</v>
      </c>
      <c r="H30" s="242">
        <f t="shared" si="4"/>
        <v>0</v>
      </c>
      <c r="I30" s="242">
        <f t="shared" si="5"/>
        <v>4590.8663002499989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88821.664729576791</v>
      </c>
      <c r="H31" s="242">
        <f t="shared" si="4"/>
        <v>0</v>
      </c>
      <c r="I31" s="242">
        <f t="shared" si="5"/>
        <v>4590.8663002499989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88821.664729576791</v>
      </c>
      <c r="H32" s="242">
        <f t="shared" si="4"/>
        <v>0</v>
      </c>
      <c r="I32" s="242">
        <f t="shared" si="5"/>
        <v>4590.8663002499989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88821.664729576791</v>
      </c>
      <c r="H33" s="247">
        <f t="shared" si="4"/>
        <v>0</v>
      </c>
      <c r="I33" s="247">
        <f t="shared" si="5"/>
        <v>4590.8663002499989</v>
      </c>
      <c r="K33" s="447"/>
    </row>
    <row r="34" spans="1:12">
      <c r="C34" s="235">
        <f>SUM(C15:C33)</f>
        <v>1.0000000000000002</v>
      </c>
      <c r="D34" s="243">
        <f>SUM(D15:D33)</f>
        <v>57041.798429326831</v>
      </c>
      <c r="E34" s="243">
        <f>SUM(E15:E33)</f>
        <v>27189.000000000004</v>
      </c>
      <c r="F34" s="243">
        <f>SUM(F15:F33)</f>
        <v>84230.798429326795</v>
      </c>
      <c r="G34" s="18"/>
      <c r="H34" s="243">
        <f>SUM(H15:H33)</f>
        <v>4590.8663002499989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425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7.6020619273185736E-2</v>
      </c>
      <c r="C9" s="490">
        <f>Debt!E69</f>
        <v>1.2999999999999963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7.6020619273185736E-2</v>
      </c>
      <c r="C12" s="495">
        <f>C9</f>
        <v>1.2999999999999963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F2" zoomScale="75" zoomScaleNormal="75" workbookViewId="0">
      <selection activeCell="H14" sqref="H1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0.27603051645145449</v>
      </c>
      <c r="C11" s="197">
        <f>C58-C12</f>
        <v>29222.982201330975</v>
      </c>
      <c r="D11" s="352">
        <f>C11/$H$68</f>
        <v>153.80516948068933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0.72396948354854551</v>
      </c>
      <c r="C12" s="197">
        <f>Debt!B19</f>
        <v>76645.682528245845</v>
      </c>
      <c r="D12" s="352">
        <f>C12/$H$68</f>
        <v>403.39832909603075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105868.66472957682</v>
      </c>
      <c r="D14" s="458">
        <f>C14/$H$68</f>
        <v>557.20349857672011</v>
      </c>
      <c r="E14" s="13"/>
      <c r="F14" s="117" t="s">
        <v>385</v>
      </c>
      <c r="G14" s="177"/>
      <c r="H14" s="254">
        <v>10300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10500</v>
      </c>
      <c r="I15" s="111"/>
      <c r="J15" s="40"/>
      <c r="L15" s="102" t="s">
        <v>206</v>
      </c>
      <c r="M15" s="13"/>
      <c r="N15" s="539">
        <v>0</v>
      </c>
      <c r="O15" s="225"/>
      <c r="P15" s="265">
        <v>0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8</v>
      </c>
      <c r="I16" s="13"/>
      <c r="J16" s="40"/>
      <c r="L16" s="105" t="s">
        <v>254</v>
      </c>
      <c r="M16" s="13"/>
      <c r="N16" s="540">
        <v>0</v>
      </c>
      <c r="O16" s="301"/>
      <c r="P16" s="302">
        <v>0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0</v>
      </c>
      <c r="O17" s="226"/>
      <c r="P17" s="303">
        <f>SUM(P15:P16)</f>
        <v>0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40"/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0.53879775073228919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2.3425250581319136E-3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0.25681820082882501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1.0720830407176299E-2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4.5339194673520905E-2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5.8090843175448662E-3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9667.6802962500005</v>
      </c>
      <c r="O29" s="226">
        <f>N29/$H$68</f>
        <v>50.882527875000001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183</v>
      </c>
      <c r="B31" s="169">
        <f t="shared" si="1"/>
        <v>9.4456655569835222E-4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3.8358847826910084E-2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76645.682528245845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1.2279365224078579E-2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0.91141036562417521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2.3254030870578859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9.6723615303511267E-3</v>
      </c>
      <c r="C38" s="252">
        <v>1024</v>
      </c>
      <c r="D38" s="352">
        <f t="shared" si="4"/>
        <v>5.3894736842105262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4028.6613183722961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9.4456655569835225E-3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1.8891331113967045E-4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4.3363787688987784E-2</v>
      </c>
      <c r="C46" s="200">
        <f>IDC!H34</f>
        <v>4590.8663002499989</v>
      </c>
      <c r="D46" s="352">
        <f t="shared" si="4"/>
        <v>24.1624542118421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2.591890628836279E-2</v>
      </c>
      <c r="C48" s="200">
        <f>SUM(C22:C33)*N55</f>
        <v>2744.0000000000005</v>
      </c>
      <c r="D48" s="352">
        <f t="shared" si="4"/>
        <v>14.442105263157897</v>
      </c>
      <c r="E48" s="64"/>
      <c r="F48" s="104" t="s">
        <v>13</v>
      </c>
      <c r="G48" s="274">
        <f>1-G47</f>
        <v>1</v>
      </c>
      <c r="H48" s="146">
        <f>G48*C11</f>
        <v>29222.982201330975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8.8589634375824899E-2</v>
      </c>
      <c r="C50" s="200">
        <f>SUM(C37:C49)</f>
        <v>9378.8663002499998</v>
      </c>
      <c r="D50" s="352">
        <f t="shared" si="4"/>
        <v>49.362454211842106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3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255">
        <v>4.75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7.0000000000000007E-2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105868.66472957682</v>
      </c>
      <c r="D58" s="356">
        <f>C58/$H$68</f>
        <v>557.20349857672011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557.20349857672011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1.2999999999999963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7.6020619273185736E-2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7.0541241765022286E-2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8.2561513781547566E-2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8.6701235175132757E-2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5603.1656179523216</v>
      </c>
      <c r="C74" s="112">
        <f>IS!D32</f>
        <v>9571.1067736325567</v>
      </c>
      <c r="D74" s="167">
        <f>IS!E32</f>
        <v>9535.7571736325572</v>
      </c>
      <c r="E74" s="98"/>
    </row>
    <row r="75" spans="1:10" ht="15.75">
      <c r="A75" s="102" t="s">
        <v>100</v>
      </c>
      <c r="B75" s="112">
        <f>IS!C45</f>
        <v>-323.59045172508445</v>
      </c>
      <c r="C75" s="112">
        <f>IS!D45</f>
        <v>-544.93419729842003</v>
      </c>
      <c r="D75" s="167">
        <f>IS!E45</f>
        <v>-518.88177651965225</v>
      </c>
      <c r="E75" s="98"/>
    </row>
    <row r="76" spans="1:10" ht="15.75">
      <c r="A76" s="102" t="s">
        <v>101</v>
      </c>
      <c r="B76" s="112">
        <f>'Returns Analysis'!C13</f>
        <v>3427.0787519210839</v>
      </c>
      <c r="C76" s="112">
        <f>'Returns Analysis'!D13</f>
        <v>3101.3441796845227</v>
      </c>
      <c r="D76" s="167">
        <f>'Returns Analysis'!E13</f>
        <v>3142.2744334549134</v>
      </c>
      <c r="E76" s="13"/>
    </row>
    <row r="77" spans="1:10" ht="16.5" thickBot="1">
      <c r="A77" s="104" t="s">
        <v>372</v>
      </c>
      <c r="B77" s="113">
        <f>'Returns Analysis'!C21</f>
        <v>3134.4541503099149</v>
      </c>
      <c r="C77" s="113">
        <f>'Returns Analysis'!D21</f>
        <v>2202.8557406892587</v>
      </c>
      <c r="D77" s="194">
        <f>'Returns Analysis'!E21</f>
        <v>2193.7799724189026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8" zoomScale="75" zoomScaleNormal="75" workbookViewId="0">
      <selection activeCell="D42" sqref="D42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4.75</v>
      </c>
      <c r="E12" s="499">
        <f>Assumptions!$H$54</f>
        <v>4.75</v>
      </c>
      <c r="F12" s="499">
        <f>Assumptions!$H$54</f>
        <v>4.75</v>
      </c>
      <c r="G12" s="499">
        <f>Assumptions!$H$54</f>
        <v>4.75</v>
      </c>
      <c r="H12" s="499">
        <f>Assumptions!$H$54</f>
        <v>4.75</v>
      </c>
      <c r="I12" s="499">
        <f>Assumptions!$H$54</f>
        <v>4.75</v>
      </c>
      <c r="J12" s="499">
        <f>Assumptions!$H$54</f>
        <v>4.75</v>
      </c>
      <c r="K12" s="499">
        <f>Assumptions!$H$54</f>
        <v>4.75</v>
      </c>
      <c r="L12" s="499">
        <f>Assumptions!$H$54</f>
        <v>4.75</v>
      </c>
      <c r="M12" s="499">
        <f>Assumptions!$H$54</f>
        <v>4.75</v>
      </c>
      <c r="N12" s="499">
        <f>Assumptions!$H$54</f>
        <v>4.75</v>
      </c>
      <c r="O12" s="499">
        <f>Assumptions!$H$54</f>
        <v>4.75</v>
      </c>
      <c r="P12" s="499">
        <f>Assumptions!$H$54</f>
        <v>4.75</v>
      </c>
      <c r="Q12" s="499">
        <f>Assumptions!$H$54</f>
        <v>4.75</v>
      </c>
      <c r="R12" s="499">
        <f>Assumptions!$H$54</f>
        <v>4.75</v>
      </c>
      <c r="S12" s="499">
        <f>Assumptions!$H$54</f>
        <v>4.75</v>
      </c>
      <c r="T12" s="499">
        <f>Assumptions!$H$54</f>
        <v>4.75</v>
      </c>
      <c r="U12" s="499">
        <f>Assumptions!$H$54</f>
        <v>4.75</v>
      </c>
      <c r="V12" s="499">
        <f>Assumptions!$H$54</f>
        <v>4.75</v>
      </c>
      <c r="W12" s="499">
        <f>Assumptions!$H$54</f>
        <v>4.75</v>
      </c>
      <c r="X12" s="499">
        <f>Assumptions!$H$54</f>
        <v>4.75</v>
      </c>
      <c r="Y12" s="499">
        <f>Assumptions!$H$54</f>
        <v>4.75</v>
      </c>
      <c r="Z12" s="499">
        <f>Assumptions!$H$54</f>
        <v>4.75</v>
      </c>
      <c r="AA12" s="499">
        <f>Assumptions!$H$54</f>
        <v>4.75</v>
      </c>
      <c r="AB12" s="499">
        <f>Assumptions!$H$54</f>
        <v>4.75</v>
      </c>
      <c r="AC12" s="499">
        <f>Assumptions!$H$54</f>
        <v>4.75</v>
      </c>
      <c r="AD12" s="499">
        <f>Assumptions!$H$54</f>
        <v>4.75</v>
      </c>
      <c r="AE12" s="499">
        <f>Assumptions!$H$54</f>
        <v>4.75</v>
      </c>
      <c r="AF12" s="499">
        <f>Assumptions!$H$54</f>
        <v>4.75</v>
      </c>
      <c r="AG12" s="499">
        <f>Assumptions!$H$54</f>
        <v>4.75</v>
      </c>
      <c r="AH12" s="499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4.75</v>
      </c>
      <c r="E21" s="511">
        <f>IF(AND(D7&lt;$D$7+Assumptions!$H$53,E7&lt;$D$7+Assumptions!$H$53),E12,IF(AND(D7&lt;$D$7+Assumptions!$H$53,E7&gt;=$D$7+Assumptions!$H$53),E12*(1-$D$7)+E19*$D$7,E19))</f>
        <v>4.75</v>
      </c>
      <c r="F21" s="511">
        <f>IF(AND(E7&lt;$D$7+Assumptions!$H$53,F7&lt;$D$7+Assumptions!$H$53),F12,IF(AND(E7&lt;$D$7+Assumptions!$H$53,F7&gt;=$D$7+Assumptions!$H$53),F12*(1-$D$7)+F19*$D$7,F19))</f>
        <v>4.75</v>
      </c>
      <c r="G21" s="511">
        <f>IF(AND(F7&lt;$D$7+Assumptions!$H$53,G7&lt;$D$7+Assumptions!$H$53),G12,IF(AND(F7&lt;$D$7+Assumptions!$H$53,G7&gt;=$D$7+Assumptions!$H$53),G12*(1-$D$7)+G19*$D$7,G19))</f>
        <v>5.316612929652778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33.921685249999996</v>
      </c>
      <c r="E34" s="502">
        <f>E44*'Price_Technical Assumption'!E30/1000</f>
        <v>33.466863000000004</v>
      </c>
      <c r="F34" s="502">
        <f>F44*'Price_Technical Assumption'!F30/1000</f>
        <v>33.584617750000007</v>
      </c>
      <c r="G34" s="502">
        <f>G44*'Price_Technical Assumption'!G30/1000</f>
        <v>34.10116275</v>
      </c>
      <c r="H34" s="502">
        <f>H44*'Price_Technical Assumption'!H30/1000</f>
        <v>34.722767749999996</v>
      </c>
      <c r="I34" s="502">
        <f>I44*'Price_Technical Assumption'!I30/1000</f>
        <v>35.383770250000005</v>
      </c>
      <c r="J34" s="502">
        <f>J44*'Price_Technical Assumption'!J30/1000</f>
        <v>36.066660249999998</v>
      </c>
      <c r="K34" s="502">
        <f>K44*'Price_Technical Assumption'!K30/1000</f>
        <v>36.802080249999996</v>
      </c>
      <c r="L34" s="502">
        <f>L44*'Price_Technical Assumption'!L30/1000</f>
        <v>37.590030250000005</v>
      </c>
      <c r="M34" s="502">
        <f>M44*'Price_Technical Assumption'!M30/1000</f>
        <v>38.430510249999998</v>
      </c>
      <c r="N34" s="502">
        <f>N44*'Price_Technical Assumption'!N30/1000</f>
        <v>39.323520250000001</v>
      </c>
      <c r="O34" s="502">
        <f>O44*'Price_Technical Assumption'!O30/1000</f>
        <v>40.269060250000003</v>
      </c>
      <c r="P34" s="502">
        <f>P44*'Price_Technical Assumption'!P30/1000</f>
        <v>41.267130249999994</v>
      </c>
      <c r="Q34" s="502">
        <f>Q44*'Price_Technical Assumption'!Q30/1000</f>
        <v>42.317730250000004</v>
      </c>
      <c r="R34" s="502">
        <f>R44*'Price_Technical Assumption'!R30/1000</f>
        <v>43.420860250000004</v>
      </c>
      <c r="S34" s="502">
        <f>S44*'Price_Technical Assumption'!S30/1000</f>
        <v>44.576520250000002</v>
      </c>
      <c r="T34" s="502">
        <f>T44*'Price_Technical Assumption'!T30/1000</f>
        <v>45.784710250000003</v>
      </c>
      <c r="U34" s="502">
        <f>U44*'Price_Technical Assumption'!U30/1000</f>
        <v>47.045430250000003</v>
      </c>
      <c r="V34" s="502">
        <f>V44*'Price_Technical Assumption'!V30/1000</f>
        <v>48.358680250000006</v>
      </c>
      <c r="W34" s="502">
        <f>W44*'Price_Technical Assumption'!W30/1000</f>
        <v>49.567647256249998</v>
      </c>
      <c r="X34" s="502">
        <f>X44*'Price_Technical Assumption'!X30/1000</f>
        <v>50.806838437656246</v>
      </c>
      <c r="Y34" s="502">
        <f>Y44*'Price_Technical Assumption'!Y30/1000</f>
        <v>23.113199999999999</v>
      </c>
      <c r="Z34" s="502">
        <f>Z44*'Price_Technical Assumption'!Z30/1000</f>
        <v>23.113199999999999</v>
      </c>
      <c r="AA34" s="502">
        <f>AA44*'Price_Technical Assumption'!AA30/1000</f>
        <v>23.113199999999999</v>
      </c>
      <c r="AB34" s="502">
        <f>AB44*'Price_Technical Assumption'!AB30/1000</f>
        <v>23.113199999999999</v>
      </c>
      <c r="AC34" s="502">
        <f>AC44*'Price_Technical Assumption'!AC30/1000</f>
        <v>23.113199999999999</v>
      </c>
      <c r="AD34" s="502">
        <f>AD44*'Price_Technical Assumption'!AD30/1000</f>
        <v>23.113199999999999</v>
      </c>
      <c r="AE34" s="502">
        <f>AE44*'Price_Technical Assumption'!AE30/1000</f>
        <v>23.113199999999999</v>
      </c>
      <c r="AF34" s="502">
        <f>AF44*'Price_Technical Assumption'!AF30/1000</f>
        <v>23.113199999999999</v>
      </c>
      <c r="AG34" s="502">
        <f>AG44*'Price_Technical Assumption'!AG30/1000</f>
        <v>23.113199999999999</v>
      </c>
      <c r="AH34" s="502">
        <f>AH44*'Price_Technical Assumption'!AH30/1000</f>
        <v>23.113199999999999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0</v>
      </c>
      <c r="E35" s="519">
        <f>Assumptions!$H$60*(1+Assumptions!$N$11)^(E7)</f>
        <v>0</v>
      </c>
      <c r="F35" s="519">
        <f>Assumptions!$H$60*(1+Assumptions!$N$11)^(F7)</f>
        <v>0</v>
      </c>
      <c r="G35" s="519">
        <f>Assumptions!$H$60*(1+Assumptions!$N$11)^(G7)</f>
        <v>0</v>
      </c>
      <c r="H35" s="519">
        <f>Assumptions!$H$60*(1+Assumptions!$N$11)^(H7)</f>
        <v>0</v>
      </c>
      <c r="I35" s="519">
        <f>Assumptions!$H$60*(1+Assumptions!$N$11)^(I7)</f>
        <v>0</v>
      </c>
      <c r="J35" s="519">
        <f>Assumptions!$H$60*(1+Assumptions!$N$11)^(J7)</f>
        <v>0</v>
      </c>
      <c r="K35" s="519">
        <f>Assumptions!$H$60*(1+Assumptions!$N$11)^(K7)</f>
        <v>0</v>
      </c>
      <c r="L35" s="519">
        <f>Assumptions!$H$60*(1+Assumptions!$N$11)^(L7)</f>
        <v>0</v>
      </c>
      <c r="M35" s="519">
        <f>Assumptions!$H$60*(1+Assumptions!$N$11)^(M7)</f>
        <v>0</v>
      </c>
      <c r="N35" s="519">
        <f>Assumptions!$H$60*(1+Assumptions!$N$11)^(N7)</f>
        <v>0</v>
      </c>
      <c r="O35" s="519">
        <f>Assumptions!$H$60*(1+Assumptions!$N$11)^(O7)</f>
        <v>0</v>
      </c>
      <c r="P35" s="519">
        <f>Assumptions!$H$60*(1+Assumptions!$N$11)^(P7)</f>
        <v>0</v>
      </c>
      <c r="Q35" s="519">
        <f>Assumptions!$H$60*(1+Assumptions!$N$11)^(Q7)</f>
        <v>0</v>
      </c>
      <c r="R35" s="519">
        <f>Assumptions!$H$60*(1+Assumptions!$N$11)^(R7)</f>
        <v>0</v>
      </c>
      <c r="S35" s="519">
        <f>Assumptions!$H$60*(1+Assumptions!$N$11)^(S7)</f>
        <v>0</v>
      </c>
      <c r="T35" s="519">
        <f>Assumptions!$H$60*(1+Assumptions!$N$11)^(T7)</f>
        <v>0</v>
      </c>
      <c r="U35" s="519">
        <f>Assumptions!$H$60*(1+Assumptions!$N$11)^(U7)</f>
        <v>0</v>
      </c>
      <c r="V35" s="519">
        <f>Assumptions!$H$60*(1+Assumptions!$N$11)^(V7)</f>
        <v>0</v>
      </c>
      <c r="W35" s="519">
        <f>Assumptions!$H$60*(1+Assumptions!$N$11)^(W7)</f>
        <v>0</v>
      </c>
      <c r="X35" s="519">
        <f>Assumptions!$H$60*(1+Assumptions!$N$11)^(X7)</f>
        <v>0</v>
      </c>
      <c r="Y35" s="519">
        <f>Assumptions!$H$60*(1+Assumptions!$N$11)^(Y7)</f>
        <v>0</v>
      </c>
      <c r="Z35" s="519">
        <f>Assumptions!$H$60*(1+Assumptions!$N$11)^(Z7)</f>
        <v>0</v>
      </c>
      <c r="AA35" s="519">
        <f>Assumptions!$H$60*(1+Assumptions!$N$11)^(AA7)</f>
        <v>0</v>
      </c>
      <c r="AB35" s="519">
        <f>Assumptions!$H$60*(1+Assumptions!$N$11)^(AB7)</f>
        <v>0</v>
      </c>
      <c r="AC35" s="519">
        <f>Assumptions!$H$60*(1+Assumptions!$N$11)^(AC7)</f>
        <v>0</v>
      </c>
      <c r="AD35" s="519">
        <f>Assumptions!$H$60*(1+Assumptions!$N$11)^(AD7)</f>
        <v>0</v>
      </c>
      <c r="AE35" s="519">
        <f>Assumptions!$H$60*(1+Assumptions!$N$11)^(AE7)</f>
        <v>0</v>
      </c>
      <c r="AF35" s="519">
        <f>Assumptions!$H$60*(1+Assumptions!$N$11)^(AF7)</f>
        <v>0</v>
      </c>
      <c r="AG35" s="519">
        <f>Assumptions!$H$60*(1+Assumptions!$N$11)^(AG7)</f>
        <v>0</v>
      </c>
      <c r="AH35" s="519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33.921685249999996</v>
      </c>
      <c r="E36" s="499">
        <f t="shared" ref="E36:AH36" si="5">SUM(E34:E35)</f>
        <v>33.466863000000004</v>
      </c>
      <c r="F36" s="499">
        <f t="shared" si="5"/>
        <v>33.584617750000007</v>
      </c>
      <c r="G36" s="499">
        <f t="shared" si="5"/>
        <v>34.10116275</v>
      </c>
      <c r="H36" s="499">
        <f t="shared" si="5"/>
        <v>34.722767749999996</v>
      </c>
      <c r="I36" s="499">
        <f t="shared" si="5"/>
        <v>35.383770250000005</v>
      </c>
      <c r="J36" s="499">
        <f t="shared" si="5"/>
        <v>36.066660249999998</v>
      </c>
      <c r="K36" s="499">
        <f t="shared" si="5"/>
        <v>36.802080249999996</v>
      </c>
      <c r="L36" s="499">
        <f t="shared" si="5"/>
        <v>37.590030250000005</v>
      </c>
      <c r="M36" s="499">
        <f t="shared" si="5"/>
        <v>38.430510249999998</v>
      </c>
      <c r="N36" s="499">
        <f t="shared" si="5"/>
        <v>39.323520250000001</v>
      </c>
      <c r="O36" s="499">
        <f t="shared" si="5"/>
        <v>40.269060250000003</v>
      </c>
      <c r="P36" s="499">
        <f t="shared" si="5"/>
        <v>41.267130249999994</v>
      </c>
      <c r="Q36" s="499">
        <f t="shared" si="5"/>
        <v>42.317730250000004</v>
      </c>
      <c r="R36" s="499">
        <f t="shared" si="5"/>
        <v>43.420860250000004</v>
      </c>
      <c r="S36" s="499">
        <f t="shared" si="5"/>
        <v>44.576520250000002</v>
      </c>
      <c r="T36" s="499">
        <f t="shared" si="5"/>
        <v>45.784710250000003</v>
      </c>
      <c r="U36" s="499">
        <f t="shared" si="5"/>
        <v>47.045430250000003</v>
      </c>
      <c r="V36" s="499">
        <f t="shared" si="5"/>
        <v>48.358680250000006</v>
      </c>
      <c r="W36" s="499">
        <f t="shared" si="5"/>
        <v>49.567647256249998</v>
      </c>
      <c r="X36" s="499">
        <f t="shared" si="5"/>
        <v>50.806838437656246</v>
      </c>
      <c r="Y36" s="499">
        <f t="shared" si="5"/>
        <v>23.113199999999999</v>
      </c>
      <c r="Z36" s="499">
        <f t="shared" si="5"/>
        <v>23.113199999999999</v>
      </c>
      <c r="AA36" s="499">
        <f t="shared" si="5"/>
        <v>23.113199999999999</v>
      </c>
      <c r="AB36" s="499">
        <f t="shared" si="5"/>
        <v>23.113199999999999</v>
      </c>
      <c r="AC36" s="499">
        <f t="shared" si="5"/>
        <v>23.113199999999999</v>
      </c>
      <c r="AD36" s="499">
        <f t="shared" si="5"/>
        <v>23.113199999999999</v>
      </c>
      <c r="AE36" s="499">
        <f t="shared" si="5"/>
        <v>23.113199999999999</v>
      </c>
      <c r="AF36" s="499">
        <f t="shared" si="5"/>
        <v>23.113199999999999</v>
      </c>
      <c r="AG36" s="499">
        <f t="shared" si="5"/>
        <v>23.113199999999999</v>
      </c>
      <c r="AH36" s="499">
        <f t="shared" si="5"/>
        <v>23.113199999999999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33.921685249999996</v>
      </c>
      <c r="E38" s="517">
        <f t="shared" ref="E38:AH38" si="6">IF($A$38="Pass-through",E36,E34)</f>
        <v>33.466863000000004</v>
      </c>
      <c r="F38" s="517">
        <f t="shared" si="6"/>
        <v>33.584617750000007</v>
      </c>
      <c r="G38" s="517">
        <f t="shared" si="6"/>
        <v>34.10116275</v>
      </c>
      <c r="H38" s="517">
        <f t="shared" si="6"/>
        <v>34.722767749999996</v>
      </c>
      <c r="I38" s="517">
        <f t="shared" si="6"/>
        <v>35.383770250000005</v>
      </c>
      <c r="J38" s="517">
        <f t="shared" si="6"/>
        <v>36.066660249999998</v>
      </c>
      <c r="K38" s="517">
        <f t="shared" si="6"/>
        <v>36.802080249999996</v>
      </c>
      <c r="L38" s="517">
        <f t="shared" si="6"/>
        <v>37.590030250000005</v>
      </c>
      <c r="M38" s="517">
        <f t="shared" si="6"/>
        <v>38.430510249999998</v>
      </c>
      <c r="N38" s="517">
        <f t="shared" si="6"/>
        <v>39.323520250000001</v>
      </c>
      <c r="O38" s="517">
        <f t="shared" si="6"/>
        <v>40.269060250000003</v>
      </c>
      <c r="P38" s="517">
        <f t="shared" si="6"/>
        <v>41.267130249999994</v>
      </c>
      <c r="Q38" s="517">
        <f t="shared" si="6"/>
        <v>42.317730250000004</v>
      </c>
      <c r="R38" s="518">
        <f t="shared" si="6"/>
        <v>43.420860250000004</v>
      </c>
      <c r="S38" s="516">
        <f t="shared" si="6"/>
        <v>44.576520250000002</v>
      </c>
      <c r="T38" s="517">
        <f t="shared" si="6"/>
        <v>45.784710250000003</v>
      </c>
      <c r="U38" s="517">
        <f t="shared" si="6"/>
        <v>47.045430250000003</v>
      </c>
      <c r="V38" s="517">
        <f t="shared" si="6"/>
        <v>48.358680250000006</v>
      </c>
      <c r="W38" s="517">
        <f t="shared" si="6"/>
        <v>49.567647256249998</v>
      </c>
      <c r="X38" s="517">
        <f t="shared" si="6"/>
        <v>50.806838437656246</v>
      </c>
      <c r="Y38" s="517">
        <f t="shared" si="6"/>
        <v>23.113199999999999</v>
      </c>
      <c r="Z38" s="517">
        <f t="shared" si="6"/>
        <v>23.113199999999999</v>
      </c>
      <c r="AA38" s="517">
        <f t="shared" si="6"/>
        <v>23.113199999999999</v>
      </c>
      <c r="AB38" s="517">
        <f t="shared" si="6"/>
        <v>23.113199999999999</v>
      </c>
      <c r="AC38" s="517">
        <f t="shared" si="6"/>
        <v>23.113199999999999</v>
      </c>
      <c r="AD38" s="517">
        <f t="shared" si="6"/>
        <v>23.113199999999999</v>
      </c>
      <c r="AE38" s="517">
        <f t="shared" si="6"/>
        <v>23.113199999999999</v>
      </c>
      <c r="AF38" s="517">
        <f t="shared" si="6"/>
        <v>23.113199999999999</v>
      </c>
      <c r="AG38" s="517">
        <f t="shared" si="6"/>
        <v>23.113199999999999</v>
      </c>
      <c r="AH38" s="518">
        <f t="shared" si="6"/>
        <v>23.113199999999999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10506</v>
      </c>
      <c r="E44" s="522">
        <f t="shared" ref="E44:AH44" si="7">E42*(1+E43)</f>
        <v>10506</v>
      </c>
      <c r="F44" s="522">
        <f t="shared" si="7"/>
        <v>10506</v>
      </c>
      <c r="G44" s="522">
        <f t="shared" si="7"/>
        <v>10506</v>
      </c>
      <c r="H44" s="522">
        <f t="shared" si="7"/>
        <v>10506</v>
      </c>
      <c r="I44" s="522">
        <f t="shared" si="7"/>
        <v>10506</v>
      </c>
      <c r="J44" s="522">
        <f t="shared" si="7"/>
        <v>10506</v>
      </c>
      <c r="K44" s="522">
        <f t="shared" si="7"/>
        <v>10506</v>
      </c>
      <c r="L44" s="522">
        <f t="shared" si="7"/>
        <v>10506</v>
      </c>
      <c r="M44" s="522">
        <f t="shared" si="7"/>
        <v>10506</v>
      </c>
      <c r="N44" s="522">
        <f t="shared" si="7"/>
        <v>10506</v>
      </c>
      <c r="O44" s="522">
        <f t="shared" si="7"/>
        <v>10506</v>
      </c>
      <c r="P44" s="522">
        <f t="shared" si="7"/>
        <v>10506</v>
      </c>
      <c r="Q44" s="522">
        <f t="shared" si="7"/>
        <v>10506</v>
      </c>
      <c r="R44" s="523">
        <f t="shared" si="7"/>
        <v>10506</v>
      </c>
      <c r="S44" s="521">
        <f t="shared" si="7"/>
        <v>10506</v>
      </c>
      <c r="T44" s="522">
        <f t="shared" si="7"/>
        <v>10506</v>
      </c>
      <c r="U44" s="522">
        <f t="shared" si="7"/>
        <v>10506</v>
      </c>
      <c r="V44" s="522">
        <f t="shared" si="7"/>
        <v>10506</v>
      </c>
      <c r="W44" s="522">
        <f t="shared" si="7"/>
        <v>10506</v>
      </c>
      <c r="X44" s="522">
        <f t="shared" si="7"/>
        <v>10506</v>
      </c>
      <c r="Y44" s="522">
        <f t="shared" si="7"/>
        <v>10506</v>
      </c>
      <c r="Z44" s="522">
        <f t="shared" si="7"/>
        <v>10506</v>
      </c>
      <c r="AA44" s="522">
        <f t="shared" si="7"/>
        <v>10506</v>
      </c>
      <c r="AB44" s="522">
        <f t="shared" si="7"/>
        <v>10506</v>
      </c>
      <c r="AC44" s="522">
        <f t="shared" si="7"/>
        <v>10506</v>
      </c>
      <c r="AD44" s="522">
        <f t="shared" si="7"/>
        <v>10506</v>
      </c>
      <c r="AE44" s="522">
        <f t="shared" si="7"/>
        <v>10506</v>
      </c>
      <c r="AF44" s="522">
        <f t="shared" si="7"/>
        <v>10506</v>
      </c>
      <c r="AG44" s="522">
        <f t="shared" si="7"/>
        <v>10506</v>
      </c>
      <c r="AH44" s="52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6774.5727319754124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9667.6802962499987</v>
      </c>
      <c r="D11" s="74">
        <f>'Price_Technical Assumption'!E38*Assumptions!$H$62/1000</f>
        <v>9538.0559550000016</v>
      </c>
      <c r="E11" s="74">
        <f>'Price_Technical Assumption'!F38*Assumptions!$H$62/1000</f>
        <v>9571.6160587500017</v>
      </c>
      <c r="F11" s="74">
        <f>'Price_Technical Assumption'!G38*Assumptions!$H$62/1000</f>
        <v>9718.8313837500009</v>
      </c>
      <c r="G11" s="74">
        <f>'Price_Technical Assumption'!H38*Assumptions!$H$62/1000</f>
        <v>9895.9888087499985</v>
      </c>
      <c r="H11" s="74">
        <f>'Price_Technical Assumption'!I38*Assumptions!$H$62/1000</f>
        <v>10084.374521250002</v>
      </c>
      <c r="I11" s="74">
        <f>'Price_Technical Assumption'!J38*Assumptions!$H$62/1000</f>
        <v>10278.998171249999</v>
      </c>
      <c r="J11" s="74">
        <f>'Price_Technical Assumption'!K38*Assumptions!$H$62/1000</f>
        <v>10488.592871249997</v>
      </c>
      <c r="K11" s="74">
        <f>'Price_Technical Assumption'!L38*Assumptions!$H$62/1000</f>
        <v>10713.158621250002</v>
      </c>
      <c r="L11" s="74">
        <f>'Price_Technical Assumption'!M38*Assumptions!$H$62/1000</f>
        <v>10952.695421249999</v>
      </c>
      <c r="M11" s="74">
        <f>'Price_Technical Assumption'!N38*Assumptions!$H$62/1000</f>
        <v>11207.20327125</v>
      </c>
      <c r="N11" s="74">
        <f>'Price_Technical Assumption'!O38*Assumptions!$H$62/1000</f>
        <v>11476.68217125</v>
      </c>
      <c r="O11" s="74">
        <f>'Price_Technical Assumption'!P38*Assumptions!$H$62/1000</f>
        <v>11761.132121249999</v>
      </c>
      <c r="P11" s="74">
        <f>'Price_Technical Assumption'!Q38*Assumptions!$H$62/1000</f>
        <v>12060.553121250001</v>
      </c>
      <c r="Q11" s="74">
        <f>'Price_Technical Assumption'!R38*Assumptions!$H$62/1000</f>
        <v>12374.945171250001</v>
      </c>
      <c r="R11" s="74">
        <f>'Price_Technical Assumption'!S38*Assumptions!$H$62/1000</f>
        <v>12704.30827125</v>
      </c>
      <c r="S11" s="74">
        <f>'Price_Technical Assumption'!T38*Assumptions!$H$62/1000</f>
        <v>13048.642421250001</v>
      </c>
      <c r="T11" s="74">
        <f>'Price_Technical Assumption'!U38*Assumptions!$H$62/1000</f>
        <v>13407.947621249999</v>
      </c>
      <c r="U11" s="74">
        <f>'Price_Technical Assumption'!V38*Assumptions!$H$62/1000</f>
        <v>13782.223871250002</v>
      </c>
      <c r="V11" s="74">
        <f>'Price_Technical Assumption'!W38*Assumptions!$H$62/1000</f>
        <v>14126.779468031249</v>
      </c>
      <c r="W11" s="74">
        <f>'Price_Technical Assumption'!X38*Assumptions!$H$62/1000</f>
        <v>14479.94895473203</v>
      </c>
      <c r="X11" s="74">
        <f>'Price_Technical Assumption'!Y38*Assumptions!$H$62/1000</f>
        <v>6587.2619999999997</v>
      </c>
      <c r="Y11" s="74">
        <f>'Price_Technical Assumption'!Z38*Assumptions!$H$62/1000</f>
        <v>6587.2619999999997</v>
      </c>
      <c r="Z11" s="74">
        <f>'Price_Technical Assumption'!AA38*Assumptions!$H$62/1000</f>
        <v>6587.2619999999997</v>
      </c>
      <c r="AA11" s="74">
        <f>'Price_Technical Assumption'!AB38*Assumptions!$H$62/1000</f>
        <v>6587.2619999999997</v>
      </c>
      <c r="AB11" s="74">
        <f>'Price_Technical Assumption'!AC38*Assumptions!$H$62/1000</f>
        <v>6587.2619999999997</v>
      </c>
      <c r="AC11" s="74">
        <f>'Price_Technical Assumption'!AD38*Assumptions!$H$62/1000</f>
        <v>6587.2619999999997</v>
      </c>
      <c r="AD11" s="74">
        <f>'Price_Technical Assumption'!AE38*Assumptions!$H$62/1000</f>
        <v>6587.2619999999997</v>
      </c>
      <c r="AE11" s="74">
        <f>'Price_Technical Assumption'!AF38*Assumptions!$H$62/1000</f>
        <v>6587.2619999999997</v>
      </c>
      <c r="AF11" s="74">
        <f>'Price_Technical Assumption'!AG38*Assumptions!$H$62/1000</f>
        <v>6587.2619999999997</v>
      </c>
      <c r="AG11" s="74">
        <f>'Price_Technical Assumption'!AH38*Assumptions!$H$62/1000</f>
        <v>6587.2619999999997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15985.180296249999</v>
      </c>
      <c r="D13" s="65">
        <f t="shared" si="0"/>
        <v>20368.055955000003</v>
      </c>
      <c r="E13" s="65">
        <f t="shared" si="0"/>
        <v>20401.616058750002</v>
      </c>
      <c r="F13" s="65">
        <f t="shared" si="0"/>
        <v>21840.708863358333</v>
      </c>
      <c r="G13" s="65">
        <f t="shared" si="0"/>
        <v>22891.451181652996</v>
      </c>
      <c r="H13" s="65">
        <f t="shared" si="0"/>
        <v>23242.830828999584</v>
      </c>
      <c r="I13" s="65">
        <f t="shared" si="0"/>
        <v>23598.532133801342</v>
      </c>
      <c r="J13" s="65">
        <f t="shared" si="0"/>
        <v>23967.026537214231</v>
      </c>
      <c r="K13" s="65">
        <f t="shared" si="0"/>
        <v>24595.945297193164</v>
      </c>
      <c r="L13" s="65">
        <f t="shared" si="0"/>
        <v>24996.621585396068</v>
      </c>
      <c r="M13" s="65">
        <f t="shared" si="0"/>
        <v>25672.447220320457</v>
      </c>
      <c r="N13" s="65">
        <f t="shared" si="0"/>
        <v>26104.988870291792</v>
      </c>
      <c r="O13" s="65">
        <f t="shared" si="0"/>
        <v>26828.288021263048</v>
      </c>
      <c r="P13" s="65">
        <f t="shared" si="0"/>
        <v>27292.331650540968</v>
      </c>
      <c r="Q13" s="65">
        <f t="shared" si="0"/>
        <v>27767.663247265555</v>
      </c>
      <c r="R13" s="65">
        <f t="shared" si="0"/>
        <v>28253.913666117245</v>
      </c>
      <c r="S13" s="65">
        <f t="shared" si="0"/>
        <v>28750.694927831632</v>
      </c>
      <c r="T13" s="65">
        <f t="shared" si="0"/>
        <v>29257.599421393497</v>
      </c>
      <c r="U13" s="65">
        <f t="shared" si="0"/>
        <v>29774.199075313158</v>
      </c>
      <c r="V13" s="65">
        <f t="shared" si="0"/>
        <v>30255.352793629107</v>
      </c>
      <c r="W13" s="65">
        <f t="shared" si="0"/>
        <v>21254.521686707441</v>
      </c>
      <c r="X13" s="65">
        <f t="shared" si="0"/>
        <v>6587.2619999999997</v>
      </c>
      <c r="Y13" s="65">
        <f t="shared" si="0"/>
        <v>6587.2619999999997</v>
      </c>
      <c r="Z13" s="65">
        <f t="shared" si="0"/>
        <v>6587.2619999999997</v>
      </c>
      <c r="AA13" s="65">
        <f t="shared" si="0"/>
        <v>6587.2619999999997</v>
      </c>
      <c r="AB13" s="65">
        <f t="shared" si="0"/>
        <v>6587.2619999999997</v>
      </c>
      <c r="AC13" s="65">
        <f t="shared" si="0"/>
        <v>6587.2619999999997</v>
      </c>
      <c r="AD13" s="65">
        <f t="shared" si="0"/>
        <v>6587.2619999999997</v>
      </c>
      <c r="AE13" s="65">
        <f t="shared" si="0"/>
        <v>6587.2619999999997</v>
      </c>
      <c r="AF13" s="65">
        <f t="shared" si="0"/>
        <v>6587.2619999999997</v>
      </c>
      <c r="AG13" s="65">
        <f t="shared" si="0"/>
        <v>6587.2619999999997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9667.6802962500005</v>
      </c>
      <c r="D16" s="221">
        <f>Assumptions!$H$62*'Price_Technical Assumption'!E30*'Price_Technical Assumption'!E44/1000000</f>
        <v>9538.0559550000016</v>
      </c>
      <c r="E16" s="221">
        <f>Assumptions!$H$62*'Price_Technical Assumption'!F30*'Price_Technical Assumption'!F44/1000000</f>
        <v>9571.6160587499999</v>
      </c>
      <c r="F16" s="221">
        <f>Assumptions!$H$62*'Price_Technical Assumption'!G30*'Price_Technical Assumption'!G44/1000000</f>
        <v>9718.8313837500027</v>
      </c>
      <c r="G16" s="221">
        <f>Assumptions!$H$62*'Price_Technical Assumption'!H30*'Price_Technical Assumption'!H44/1000000</f>
        <v>9895.9888087499985</v>
      </c>
      <c r="H16" s="221">
        <f>Assumptions!$H$62*'Price_Technical Assumption'!I30*'Price_Technical Assumption'!I44/1000000</f>
        <v>10084.374521250002</v>
      </c>
      <c r="I16" s="221">
        <f>Assumptions!$H$62*'Price_Technical Assumption'!J30*'Price_Technical Assumption'!J44/1000000</f>
        <v>10278.998171250001</v>
      </c>
      <c r="J16" s="221">
        <f>Assumptions!$H$62*'Price_Technical Assumption'!K30*'Price_Technical Assumption'!K44/1000000</f>
        <v>10488.592871250001</v>
      </c>
      <c r="K16" s="221">
        <f>Assumptions!$H$62*'Price_Technical Assumption'!L30*'Price_Technical Assumption'!L44/1000000</f>
        <v>10713.158621250002</v>
      </c>
      <c r="L16" s="221">
        <f>Assumptions!$H$62*'Price_Technical Assumption'!M30*'Price_Technical Assumption'!M44/1000000</f>
        <v>10952.69542125</v>
      </c>
      <c r="M16" s="221">
        <f>Assumptions!$H$62*'Price_Technical Assumption'!N30*'Price_Technical Assumption'!N44/1000000</f>
        <v>11207.20327125</v>
      </c>
      <c r="N16" s="221">
        <f>Assumptions!$H$62*'Price_Technical Assumption'!O30*'Price_Technical Assumption'!O44/1000000</f>
        <v>11476.68217125</v>
      </c>
      <c r="O16" s="221">
        <f>Assumptions!$H$62*'Price_Technical Assumption'!P30*'Price_Technical Assumption'!P44/1000000</f>
        <v>11761.132121249999</v>
      </c>
      <c r="P16" s="221">
        <f>Assumptions!$H$62*'Price_Technical Assumption'!Q30*'Price_Technical Assumption'!Q44/1000000</f>
        <v>12060.553121249999</v>
      </c>
      <c r="Q16" s="221">
        <f>Assumptions!$H$62*'Price_Technical Assumption'!R30*'Price_Technical Assumption'!R44/1000000</f>
        <v>12374.945171249999</v>
      </c>
      <c r="R16" s="221">
        <f>Assumptions!$H$62*'Price_Technical Assumption'!S30*'Price_Technical Assumption'!S44/1000000</f>
        <v>12704.30827125</v>
      </c>
      <c r="S16" s="221">
        <f>Assumptions!$H$62*'Price_Technical Assumption'!T30*'Price_Technical Assumption'!T44/1000000</f>
        <v>13048.642421250001</v>
      </c>
      <c r="T16" s="221">
        <f>Assumptions!$H$62*'Price_Technical Assumption'!U30*'Price_Technical Assumption'!U44/1000000</f>
        <v>13407.947621249999</v>
      </c>
      <c r="U16" s="221">
        <f>Assumptions!$H$62*'Price_Technical Assumption'!V30*'Price_Technical Assumption'!V44/1000000</f>
        <v>13782.22387125</v>
      </c>
      <c r="V16" s="221">
        <f>Assumptions!$H$62*'Price_Technical Assumption'!W30*'Price_Technical Assumption'!W44/1000000</f>
        <v>14126.779468031251</v>
      </c>
      <c r="W16" s="221">
        <f>Assumptions!$H$62*'Price_Technical Assumption'!X30*'Price_Technical Assumption'!X44/1000000</f>
        <v>14479.94895473203</v>
      </c>
      <c r="X16" s="221">
        <f>Assumptions!$H$62*'Price_Technical Assumption'!Y30*'Price_Technical Assumption'!Y44/1000000</f>
        <v>6587.2619999999997</v>
      </c>
      <c r="Y16" s="221">
        <f>Assumptions!$H$62*'Price_Technical Assumption'!Z30*'Price_Technical Assumption'!Z44/1000000</f>
        <v>6587.2619999999997</v>
      </c>
      <c r="Z16" s="221">
        <f>Assumptions!$H$62*'Price_Technical Assumption'!AA30*'Price_Technical Assumption'!AA44/1000000</f>
        <v>6587.2619999999997</v>
      </c>
      <c r="AA16" s="221">
        <f>Assumptions!$H$62*'Price_Technical Assumption'!AB30*'Price_Technical Assumption'!AB44/1000000</f>
        <v>6587.2619999999997</v>
      </c>
      <c r="AB16" s="221">
        <f>Assumptions!$H$62*'Price_Technical Assumption'!AC30*'Price_Technical Assumption'!AC44/1000000</f>
        <v>6587.2619999999997</v>
      </c>
      <c r="AC16" s="221">
        <f>Assumptions!$H$62*'Price_Technical Assumption'!AD30*'Price_Technical Assumption'!AD44/1000000</f>
        <v>6587.2619999999997</v>
      </c>
      <c r="AD16" s="221">
        <f>Assumptions!$H$62*'Price_Technical Assumption'!AE30*'Price_Technical Assumption'!AE44/1000000</f>
        <v>6587.2619999999997</v>
      </c>
      <c r="AE16" s="221">
        <f>Assumptions!$H$62*'Price_Technical Assumption'!AF30*'Price_Technical Assumption'!AF44/1000000</f>
        <v>6587.2619999999997</v>
      </c>
      <c r="AF16" s="221">
        <f>Assumptions!$H$62*'Price_Technical Assumption'!AG30*'Price_Technical Assumption'!AG44/1000000</f>
        <v>6587.2619999999997</v>
      </c>
      <c r="AG16" s="221">
        <f>Assumptions!$H$62*'Price_Technical Assumption'!AH30*'Price_Technical Assumption'!AH44/1000000</f>
        <v>6587.2619999999997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254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10382.014678297677</v>
      </c>
      <c r="D30" s="65">
        <f t="shared" si="1"/>
        <v>10796.949181367447</v>
      </c>
      <c r="E30" s="65">
        <f t="shared" si="1"/>
        <v>10865.858885117445</v>
      </c>
      <c r="F30" s="65">
        <f t="shared" si="1"/>
        <v>11049.48429811745</v>
      </c>
      <c r="G30" s="65">
        <f t="shared" si="1"/>
        <v>11264.144113757444</v>
      </c>
      <c r="H30" s="65">
        <f t="shared" si="1"/>
        <v>11491.157288616647</v>
      </c>
      <c r="I30" s="65">
        <f t="shared" si="1"/>
        <v>11725.567224846622</v>
      </c>
      <c r="J30" s="65">
        <f t="shared" si="1"/>
        <v>11976.141799663497</v>
      </c>
      <c r="K30" s="65">
        <f t="shared" si="1"/>
        <v>12242.91682072488</v>
      </c>
      <c r="L30" s="65">
        <f t="shared" si="1"/>
        <v>12525.929169918103</v>
      </c>
      <c r="M30" s="65">
        <f t="shared" si="1"/>
        <v>12825.216835587122</v>
      </c>
      <c r="N30" s="65">
        <f t="shared" si="1"/>
        <v>13140.818945726212</v>
      </c>
      <c r="O30" s="65">
        <f t="shared" si="1"/>
        <v>13472.775802169474</v>
      </c>
      <c r="P30" s="65">
        <f t="shared" si="1"/>
        <v>13821.128915806035</v>
      </c>
      <c r="Q30" s="65">
        <f t="shared" si="1"/>
        <v>14185.921042851694</v>
      </c>
      <c r="R30" s="65">
        <f t="shared" si="1"/>
        <v>14567.196222208722</v>
      </c>
      <c r="S30" s="65">
        <f t="shared" si="1"/>
        <v>14917.998765232118</v>
      </c>
      <c r="T30" s="65">
        <f t="shared" si="1"/>
        <v>15298.805312568884</v>
      </c>
      <c r="U30" s="65">
        <f t="shared" si="1"/>
        <v>15729.807293308453</v>
      </c>
      <c r="V30" s="65">
        <f t="shared" si="1"/>
        <v>16132.790392751456</v>
      </c>
      <c r="W30" s="65">
        <f t="shared" si="1"/>
        <v>16546.140207193839</v>
      </c>
      <c r="X30" s="65">
        <f t="shared" si="1"/>
        <v>8715.4389900356655</v>
      </c>
      <c r="Y30" s="65">
        <f t="shared" ref="Y30:AG30" si="2">SUM(Y16:Y29)</f>
        <v>8779.2842997367334</v>
      </c>
      <c r="Z30" s="65">
        <f t="shared" si="2"/>
        <v>8845.0449687288365</v>
      </c>
      <c r="AA30" s="65">
        <f t="shared" si="2"/>
        <v>8912.7784577907023</v>
      </c>
      <c r="AB30" s="65">
        <f t="shared" si="2"/>
        <v>8982.5439515244234</v>
      </c>
      <c r="AC30" s="65">
        <f t="shared" si="2"/>
        <v>9054.4024100701554</v>
      </c>
      <c r="AD30" s="65">
        <f t="shared" si="2"/>
        <v>9128.4166223722623</v>
      </c>
      <c r="AE30" s="65">
        <f t="shared" si="2"/>
        <v>9204.6512610434274</v>
      </c>
      <c r="AF30" s="65">
        <f t="shared" si="2"/>
        <v>9283.1729388747317</v>
      </c>
      <c r="AG30" s="65">
        <f t="shared" si="2"/>
        <v>9364.0502670409733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5603.1656179523216</v>
      </c>
      <c r="D32" s="124">
        <f t="shared" si="3"/>
        <v>9571.1067736325567</v>
      </c>
      <c r="E32" s="124">
        <f t="shared" si="3"/>
        <v>9535.7571736325572</v>
      </c>
      <c r="F32" s="124">
        <f t="shared" si="3"/>
        <v>10791.224565240884</v>
      </c>
      <c r="G32" s="124">
        <f t="shared" si="3"/>
        <v>11627.307067895552</v>
      </c>
      <c r="H32" s="124">
        <f t="shared" si="3"/>
        <v>11751.673540382937</v>
      </c>
      <c r="I32" s="124">
        <f t="shared" si="3"/>
        <v>11872.96490895472</v>
      </c>
      <c r="J32" s="124">
        <f t="shared" si="3"/>
        <v>11990.884737550734</v>
      </c>
      <c r="K32" s="124">
        <f t="shared" si="3"/>
        <v>12353.028476468284</v>
      </c>
      <c r="L32" s="124">
        <f t="shared" si="3"/>
        <v>12470.692415477964</v>
      </c>
      <c r="M32" s="124">
        <f t="shared" si="3"/>
        <v>12847.230384733335</v>
      </c>
      <c r="N32" s="124">
        <f t="shared" si="3"/>
        <v>12964.16992456558</v>
      </c>
      <c r="O32" s="124">
        <f t="shared" si="3"/>
        <v>13355.512219093574</v>
      </c>
      <c r="P32" s="124">
        <f t="shared" si="3"/>
        <v>13471.202734734932</v>
      </c>
      <c r="Q32" s="124">
        <f t="shared" si="3"/>
        <v>13581.74220441386</v>
      </c>
      <c r="R32" s="124">
        <f t="shared" si="3"/>
        <v>13686.717443908523</v>
      </c>
      <c r="S32" s="124">
        <f t="shared" si="3"/>
        <v>13832.696162599514</v>
      </c>
      <c r="T32" s="124">
        <f t="shared" si="3"/>
        <v>13958.794108824613</v>
      </c>
      <c r="U32" s="124">
        <f t="shared" si="3"/>
        <v>14044.391782004705</v>
      </c>
      <c r="V32" s="124">
        <f t="shared" si="3"/>
        <v>14122.56240087765</v>
      </c>
      <c r="W32" s="124">
        <f t="shared" si="3"/>
        <v>4708.3814795136022</v>
      </c>
      <c r="X32" s="124">
        <f t="shared" si="3"/>
        <v>-2128.1769900356658</v>
      </c>
      <c r="Y32" s="124">
        <f t="shared" ref="Y32:AG32" si="4">Y13-Y30</f>
        <v>-2192.0222997367337</v>
      </c>
      <c r="Z32" s="124">
        <f t="shared" si="4"/>
        <v>-2257.7829687288367</v>
      </c>
      <c r="AA32" s="124">
        <f t="shared" si="4"/>
        <v>-2325.5164577907026</v>
      </c>
      <c r="AB32" s="124">
        <f t="shared" si="4"/>
        <v>-2395.2819515244237</v>
      </c>
      <c r="AC32" s="124">
        <f t="shared" si="4"/>
        <v>-2467.1404100701557</v>
      </c>
      <c r="AD32" s="124">
        <f t="shared" si="4"/>
        <v>-2541.1546223722626</v>
      </c>
      <c r="AE32" s="124">
        <f t="shared" si="4"/>
        <v>-2617.3892610434277</v>
      </c>
      <c r="AF32" s="124">
        <f t="shared" si="4"/>
        <v>-2695.910938874732</v>
      </c>
      <c r="AG32" s="124">
        <f t="shared" si="4"/>
        <v>-2776.7882670409736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2345.4316327675947</v>
      </c>
      <c r="D34" s="65">
        <f>Depreciation!E48</f>
        <v>4020.7399418873047</v>
      </c>
      <c r="E34" s="65">
        <f>Depreciation!F48</f>
        <v>4020.7399418873047</v>
      </c>
      <c r="F34" s="65">
        <f>Depreciation!G48</f>
        <v>4020.7399418873047</v>
      </c>
      <c r="G34" s="65">
        <f>Depreciation!H48</f>
        <v>4020.7399418873047</v>
      </c>
      <c r="H34" s="65">
        <f>Depreciation!I48</f>
        <v>3462.1399418873043</v>
      </c>
      <c r="I34" s="65">
        <f>Depreciation!J48</f>
        <v>3063.1399418873043</v>
      </c>
      <c r="J34" s="65">
        <f>Depreciation!K48</f>
        <v>3063.1399418873043</v>
      </c>
      <c r="K34" s="65">
        <f>Depreciation!L48</f>
        <v>3063.1399418873043</v>
      </c>
      <c r="L34" s="65">
        <f>Depreciation!M48</f>
        <v>3063.1399418873043</v>
      </c>
      <c r="M34" s="65">
        <f>Depreciation!N48</f>
        <v>3063.1399418873043</v>
      </c>
      <c r="N34" s="65">
        <f>Depreciation!O48</f>
        <v>3063.1399418873043</v>
      </c>
      <c r="O34" s="65">
        <f>Depreciation!P48</f>
        <v>3063.1399418873043</v>
      </c>
      <c r="P34" s="65">
        <f>Depreciation!Q48</f>
        <v>3063.1399418873043</v>
      </c>
      <c r="Q34" s="65">
        <f>Depreciation!R48</f>
        <v>3063.1399418873043</v>
      </c>
      <c r="R34" s="65">
        <f>Depreciation!S48</f>
        <v>3063.1399418873043</v>
      </c>
      <c r="S34" s="65">
        <f>Depreciation!T48</f>
        <v>3063.1399418873043</v>
      </c>
      <c r="T34" s="65">
        <f>Depreciation!U48</f>
        <v>3063.1399418873043</v>
      </c>
      <c r="U34" s="65">
        <f>Depreciation!V48</f>
        <v>3063.1399418873043</v>
      </c>
      <c r="V34" s="65">
        <f>Depreciation!W48</f>
        <v>3063.1399418873043</v>
      </c>
      <c r="W34" s="65">
        <f>Depreciation!X48</f>
        <v>3063.1399418873043</v>
      </c>
      <c r="X34" s="65">
        <f>Depreciation!Y48</f>
        <v>3063.1399418873043</v>
      </c>
      <c r="Y34" s="65">
        <f>Depreciation!Z48</f>
        <v>3063.1399418873043</v>
      </c>
      <c r="Z34" s="65">
        <f>Depreciation!AA48</f>
        <v>3063.1399418873043</v>
      </c>
      <c r="AA34" s="65">
        <f>Depreciation!AB48</f>
        <v>3063.1399418873043</v>
      </c>
      <c r="AB34" s="65">
        <f>Depreciation!AC48</f>
        <v>3063.1399418873043</v>
      </c>
      <c r="AC34" s="65">
        <f>Depreciation!AD48</f>
        <v>3063.1399418873043</v>
      </c>
      <c r="AD34" s="65">
        <f>Depreciation!AE48</f>
        <v>3063.1399418873043</v>
      </c>
      <c r="AE34" s="65">
        <f>Depreciation!AF48</f>
        <v>3063.1399418873043</v>
      </c>
      <c r="AF34" s="65">
        <f>Depreciation!AG48</f>
        <v>3063.1399418873043</v>
      </c>
      <c r="AG34" s="65">
        <f>Depreciation!AH48</f>
        <v>1276.30830911971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3257.7339851847269</v>
      </c>
      <c r="D36" s="124">
        <f t="shared" ref="D36:X36" si="5">D32-D34</f>
        <v>5550.3668317452521</v>
      </c>
      <c r="E36" s="124">
        <f t="shared" si="5"/>
        <v>5515.0172317452525</v>
      </c>
      <c r="F36" s="124">
        <f t="shared" si="5"/>
        <v>6770.4846233535791</v>
      </c>
      <c r="G36" s="124">
        <f t="shared" si="5"/>
        <v>7606.5671260082472</v>
      </c>
      <c r="H36" s="124">
        <f t="shared" si="5"/>
        <v>8289.5335984956328</v>
      </c>
      <c r="I36" s="124">
        <f t="shared" si="5"/>
        <v>8809.8249670674159</v>
      </c>
      <c r="J36" s="124">
        <f t="shared" si="5"/>
        <v>8927.7447956634296</v>
      </c>
      <c r="K36" s="124">
        <f t="shared" si="5"/>
        <v>9289.8885345809795</v>
      </c>
      <c r="L36" s="124">
        <f t="shared" si="5"/>
        <v>9407.5524735906602</v>
      </c>
      <c r="M36" s="124">
        <f t="shared" si="5"/>
        <v>9784.0904428460308</v>
      </c>
      <c r="N36" s="124">
        <f t="shared" si="5"/>
        <v>9901.0299826782757</v>
      </c>
      <c r="O36" s="124">
        <f t="shared" si="5"/>
        <v>10292.37227720627</v>
      </c>
      <c r="P36" s="124">
        <f t="shared" si="5"/>
        <v>10408.062792847628</v>
      </c>
      <c r="Q36" s="124">
        <f t="shared" si="5"/>
        <v>10518.602262526556</v>
      </c>
      <c r="R36" s="124">
        <f t="shared" si="5"/>
        <v>10623.577502021219</v>
      </c>
      <c r="S36" s="124">
        <f t="shared" si="5"/>
        <v>10769.556220712209</v>
      </c>
      <c r="T36" s="124">
        <f t="shared" si="5"/>
        <v>10895.654166937309</v>
      </c>
      <c r="U36" s="124">
        <f t="shared" si="5"/>
        <v>10981.2518401174</v>
      </c>
      <c r="V36" s="124">
        <f t="shared" si="5"/>
        <v>11059.422458990346</v>
      </c>
      <c r="W36" s="124">
        <f t="shared" si="5"/>
        <v>1645.2415376262979</v>
      </c>
      <c r="X36" s="124">
        <f t="shared" si="5"/>
        <v>-5191.3169319229701</v>
      </c>
      <c r="Y36" s="124">
        <f t="shared" ref="Y36:AG36" si="6">Y32-Y34</f>
        <v>-5255.162241624038</v>
      </c>
      <c r="Z36" s="124">
        <f t="shared" si="6"/>
        <v>-5320.9229106161411</v>
      </c>
      <c r="AA36" s="124">
        <f t="shared" si="6"/>
        <v>-5388.6563996780069</v>
      </c>
      <c r="AB36" s="124">
        <f t="shared" si="6"/>
        <v>-5458.421893411728</v>
      </c>
      <c r="AC36" s="124">
        <f t="shared" si="6"/>
        <v>-5530.28035195746</v>
      </c>
      <c r="AD36" s="124">
        <f t="shared" si="6"/>
        <v>-5604.2945642595669</v>
      </c>
      <c r="AE36" s="124">
        <f t="shared" si="6"/>
        <v>-5680.529202930732</v>
      </c>
      <c r="AF36" s="124">
        <f t="shared" si="6"/>
        <v>-5759.0508807620363</v>
      </c>
      <c r="AG36" s="124">
        <f t="shared" si="6"/>
        <v>-4053.0965761606835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3793.0366348540147</v>
      </c>
      <c r="D38" s="65">
        <f>Debt!C57</f>
        <v>6451.8295237194789</v>
      </c>
      <c r="E38" s="65">
        <f>Debt!D57</f>
        <v>6373.3824534485648</v>
      </c>
      <c r="F38" s="65">
        <f>Debt!E57</f>
        <v>6259.0735515541892</v>
      </c>
      <c r="G38" s="65">
        <f>Debt!F57</f>
        <v>6070.8754277023381</v>
      </c>
      <c r="H38" s="65">
        <f>Debt!G57</f>
        <v>5825.5653415263114</v>
      </c>
      <c r="I38" s="65">
        <f>Debt!H57</f>
        <v>5544.5918339686559</v>
      </c>
      <c r="J38" s="65">
        <f>Debt!I57</f>
        <v>5231.9277276892435</v>
      </c>
      <c r="K38" s="65">
        <f>Debt!J57</f>
        <v>4876.4814179916957</v>
      </c>
      <c r="L38" s="65">
        <f>Debt!K57</f>
        <v>4475.2557282261441</v>
      </c>
      <c r="M38" s="65">
        <f>Debt!L57</f>
        <v>4022.6680449736468</v>
      </c>
      <c r="N38" s="65">
        <f>Debt!M57</f>
        <v>3515.0981015304283</v>
      </c>
      <c r="O38" s="65">
        <f>Debt!N57</f>
        <v>2944.7566841722651</v>
      </c>
      <c r="P38" s="65">
        <f>Debt!O57</f>
        <v>2309.2496532824548</v>
      </c>
      <c r="Q38" s="65">
        <f>Debt!P57</f>
        <v>1608.4118276798549</v>
      </c>
      <c r="R38" s="65">
        <f>Debt!Q57</f>
        <v>840.37075962934227</v>
      </c>
      <c r="S38" s="65">
        <f>Debt!R57</f>
        <v>107.81017868509903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13.999563344163761</v>
      </c>
      <c r="Y38" s="65">
        <f>Debt!X57</f>
        <v>101.40649835738384</v>
      </c>
      <c r="Z38" s="65">
        <f>Debt!Y57</f>
        <v>257.51699858145162</v>
      </c>
      <c r="AA38" s="65">
        <f>Debt!Z57</f>
        <v>431.97265793677678</v>
      </c>
      <c r="AB38" s="65">
        <f>Debt!AA57</f>
        <v>625.8583412296922</v>
      </c>
      <c r="AC38" s="65">
        <f>Debt!AB57</f>
        <v>841.32487131651351</v>
      </c>
      <c r="AD38" s="65">
        <f>Debt!AC57</f>
        <v>1080.1419506339862</v>
      </c>
      <c r="AE38" s="65">
        <f>Debt!AD57</f>
        <v>1345.120445340486</v>
      </c>
      <c r="AF38" s="65">
        <f>Debt!AE57</f>
        <v>1637.8886969169473</v>
      </c>
      <c r="AG38" s="65">
        <f>Debt!AF57</f>
        <v>2019.7636482272283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-535.3026496692878</v>
      </c>
      <c r="D40" s="124">
        <f t="shared" ref="D40:X40" si="7">D36-D38</f>
        <v>-901.4626919742268</v>
      </c>
      <c r="E40" s="124">
        <f t="shared" si="7"/>
        <v>-858.36522170331227</v>
      </c>
      <c r="F40" s="124">
        <f t="shared" si="7"/>
        <v>511.4110717993899</v>
      </c>
      <c r="G40" s="124">
        <f t="shared" si="7"/>
        <v>1535.6916983059091</v>
      </c>
      <c r="H40" s="124">
        <f t="shared" si="7"/>
        <v>2463.9682569693214</v>
      </c>
      <c r="I40" s="124">
        <f t="shared" si="7"/>
        <v>3265.2331330987599</v>
      </c>
      <c r="J40" s="124">
        <f t="shared" si="7"/>
        <v>3695.8170679741861</v>
      </c>
      <c r="K40" s="124">
        <f t="shared" si="7"/>
        <v>4413.4071165892838</v>
      </c>
      <c r="L40" s="124">
        <f t="shared" si="7"/>
        <v>4932.296745364516</v>
      </c>
      <c r="M40" s="124">
        <f t="shared" si="7"/>
        <v>5761.422397872384</v>
      </c>
      <c r="N40" s="124">
        <f t="shared" si="7"/>
        <v>6385.9318811478479</v>
      </c>
      <c r="O40" s="124">
        <f t="shared" si="7"/>
        <v>7347.6155930340046</v>
      </c>
      <c r="P40" s="124">
        <f t="shared" si="7"/>
        <v>8098.8131395651726</v>
      </c>
      <c r="Q40" s="124">
        <f t="shared" si="7"/>
        <v>8910.1904348467015</v>
      </c>
      <c r="R40" s="124">
        <f t="shared" si="7"/>
        <v>9783.2067423918761</v>
      </c>
      <c r="S40" s="124">
        <f t="shared" si="7"/>
        <v>10661.746042027111</v>
      </c>
      <c r="T40" s="124">
        <f t="shared" si="7"/>
        <v>10895.654166937309</v>
      </c>
      <c r="U40" s="124">
        <f t="shared" si="7"/>
        <v>10981.2518401174</v>
      </c>
      <c r="V40" s="124">
        <f t="shared" si="7"/>
        <v>11059.422458990346</v>
      </c>
      <c r="W40" s="124">
        <f t="shared" si="7"/>
        <v>1645.2415376262979</v>
      </c>
      <c r="X40" s="124">
        <f t="shared" si="7"/>
        <v>-5205.3164952671341</v>
      </c>
      <c r="Y40" s="124">
        <f t="shared" ref="Y40:AG40" si="8">Y36-Y38</f>
        <v>-5356.5687399814215</v>
      </c>
      <c r="Z40" s="124">
        <f t="shared" si="8"/>
        <v>-5578.4399091975929</v>
      </c>
      <c r="AA40" s="124">
        <f t="shared" si="8"/>
        <v>-5820.629057614784</v>
      </c>
      <c r="AB40" s="124">
        <f t="shared" si="8"/>
        <v>-6084.2802346414201</v>
      </c>
      <c r="AC40" s="124">
        <f t="shared" si="8"/>
        <v>-6371.605223273973</v>
      </c>
      <c r="AD40" s="124">
        <f t="shared" si="8"/>
        <v>-6684.4365148935531</v>
      </c>
      <c r="AE40" s="124">
        <f t="shared" si="8"/>
        <v>-7025.6496482712182</v>
      </c>
      <c r="AF40" s="124">
        <f t="shared" si="8"/>
        <v>-7396.9395776789834</v>
      </c>
      <c r="AG40" s="124">
        <f t="shared" si="8"/>
        <v>-6072.8602243879122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37.471185476850152</v>
      </c>
      <c r="D42" s="74">
        <f t="shared" ref="D42:AG42" si="9">-D40*$B$42</f>
        <v>63.102388438195881</v>
      </c>
      <c r="E42" s="74">
        <f t="shared" si="9"/>
        <v>60.085565519231864</v>
      </c>
      <c r="F42" s="74">
        <f t="shared" si="9"/>
        <v>-35.798775025957298</v>
      </c>
      <c r="G42" s="74">
        <f t="shared" si="9"/>
        <v>-107.49841888141364</v>
      </c>
      <c r="H42" s="74">
        <f t="shared" si="9"/>
        <v>-172.47777798785251</v>
      </c>
      <c r="I42" s="74">
        <f t="shared" si="9"/>
        <v>-228.56631931691322</v>
      </c>
      <c r="J42" s="74">
        <f t="shared" si="9"/>
        <v>-258.70719475819305</v>
      </c>
      <c r="K42" s="74">
        <f t="shared" si="9"/>
        <v>-308.93849816124987</v>
      </c>
      <c r="L42" s="74">
        <f t="shared" si="9"/>
        <v>-345.26077217551614</v>
      </c>
      <c r="M42" s="74">
        <f t="shared" si="9"/>
        <v>-403.29956785106691</v>
      </c>
      <c r="N42" s="74">
        <f t="shared" si="9"/>
        <v>-447.01523168034942</v>
      </c>
      <c r="O42" s="74">
        <f t="shared" si="9"/>
        <v>-514.33309151238041</v>
      </c>
      <c r="P42" s="74">
        <f t="shared" si="9"/>
        <v>-566.91691976956213</v>
      </c>
      <c r="Q42" s="74">
        <f t="shared" si="9"/>
        <v>-623.71333043926916</v>
      </c>
      <c r="R42" s="74">
        <f t="shared" si="9"/>
        <v>-684.82447196743135</v>
      </c>
      <c r="S42" s="74">
        <f t="shared" si="9"/>
        <v>-746.32222294189785</v>
      </c>
      <c r="T42" s="74">
        <f t="shared" si="9"/>
        <v>-762.69579168561177</v>
      </c>
      <c r="U42" s="74">
        <f t="shared" si="9"/>
        <v>-768.68762880821805</v>
      </c>
      <c r="V42" s="74">
        <f t="shared" si="9"/>
        <v>-774.15957212932426</v>
      </c>
      <c r="W42" s="74">
        <f t="shared" si="9"/>
        <v>-115.16690763384086</v>
      </c>
      <c r="X42" s="74">
        <f t="shared" si="9"/>
        <v>364.37215466869941</v>
      </c>
      <c r="Y42" s="74">
        <f t="shared" si="9"/>
        <v>374.95981179869955</v>
      </c>
      <c r="Z42" s="74">
        <f t="shared" si="9"/>
        <v>390.49079364383152</v>
      </c>
      <c r="AA42" s="74">
        <f t="shared" si="9"/>
        <v>407.44403403303494</v>
      </c>
      <c r="AB42" s="74">
        <f t="shared" si="9"/>
        <v>425.89961642489942</v>
      </c>
      <c r="AC42" s="74">
        <f t="shared" si="9"/>
        <v>446.01236562917813</v>
      </c>
      <c r="AD42" s="74">
        <f t="shared" si="9"/>
        <v>467.91055604254876</v>
      </c>
      <c r="AE42" s="74">
        <f t="shared" si="9"/>
        <v>491.79547537898532</v>
      </c>
      <c r="AF42" s="74">
        <f t="shared" si="9"/>
        <v>517.78577043752887</v>
      </c>
      <c r="AG42" s="74">
        <f t="shared" si="9"/>
        <v>425.10021570715389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174.24101246735316</v>
      </c>
      <c r="D43" s="74">
        <f t="shared" si="10"/>
        <v>293.42610623761078</v>
      </c>
      <c r="E43" s="74">
        <f t="shared" si="10"/>
        <v>279.3978796644281</v>
      </c>
      <c r="F43" s="74">
        <f t="shared" si="10"/>
        <v>-166.4643038707014</v>
      </c>
      <c r="G43" s="74">
        <f t="shared" si="10"/>
        <v>-499.86764779857333</v>
      </c>
      <c r="H43" s="74">
        <f t="shared" si="10"/>
        <v>-802.02166764351409</v>
      </c>
      <c r="I43" s="74">
        <f t="shared" si="10"/>
        <v>-1062.8333848236464</v>
      </c>
      <c r="J43" s="74">
        <f t="shared" si="10"/>
        <v>-1202.9884556255975</v>
      </c>
      <c r="K43" s="74">
        <f t="shared" si="10"/>
        <v>-1436.5640164498116</v>
      </c>
      <c r="L43" s="74">
        <f t="shared" si="10"/>
        <v>-1605.46259061615</v>
      </c>
      <c r="M43" s="74">
        <f t="shared" si="10"/>
        <v>-1875.3429905074609</v>
      </c>
      <c r="N43" s="74">
        <f t="shared" si="10"/>
        <v>-2078.6208273136244</v>
      </c>
      <c r="O43" s="74">
        <f t="shared" si="10"/>
        <v>-2391.6488755325681</v>
      </c>
      <c r="P43" s="74">
        <f t="shared" si="10"/>
        <v>-2636.1636769284637</v>
      </c>
      <c r="Q43" s="74">
        <f t="shared" si="10"/>
        <v>-2900.2669865426014</v>
      </c>
      <c r="R43" s="74">
        <f t="shared" si="10"/>
        <v>-3184.4337946485557</v>
      </c>
      <c r="S43" s="74">
        <f t="shared" si="10"/>
        <v>-3470.3983366798248</v>
      </c>
      <c r="T43" s="74">
        <f t="shared" si="10"/>
        <v>-3546.535431338094</v>
      </c>
      <c r="U43" s="74">
        <f t="shared" si="10"/>
        <v>-3574.3974739582136</v>
      </c>
      <c r="V43" s="74">
        <f t="shared" si="10"/>
        <v>-3599.8420104013576</v>
      </c>
      <c r="W43" s="74">
        <f t="shared" si="10"/>
        <v>-535.52612049736001</v>
      </c>
      <c r="X43" s="74">
        <f t="shared" si="10"/>
        <v>1694.3305192094522</v>
      </c>
      <c r="Y43" s="74">
        <f t="shared" si="10"/>
        <v>1743.5631248639525</v>
      </c>
      <c r="Z43" s="74">
        <f t="shared" si="10"/>
        <v>1815.7821904438165</v>
      </c>
      <c r="AA43" s="74">
        <f t="shared" si="10"/>
        <v>1894.6147582536121</v>
      </c>
      <c r="AB43" s="74">
        <f t="shared" si="10"/>
        <v>1980.4332163757822</v>
      </c>
      <c r="AC43" s="74">
        <f t="shared" si="10"/>
        <v>2073.957500175678</v>
      </c>
      <c r="AD43" s="74">
        <f t="shared" si="10"/>
        <v>2175.7840855978516</v>
      </c>
      <c r="AE43" s="74">
        <f t="shared" si="10"/>
        <v>2286.8489605122813</v>
      </c>
      <c r="AF43" s="74">
        <f t="shared" si="10"/>
        <v>2407.7038325345088</v>
      </c>
      <c r="AG43" s="74">
        <f t="shared" si="10"/>
        <v>1976.7160030382652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-323.59045172508445</v>
      </c>
      <c r="D45" s="375">
        <f t="shared" si="11"/>
        <v>-544.93419729842003</v>
      </c>
      <c r="E45" s="375">
        <f t="shared" si="11"/>
        <v>-518.88177651965225</v>
      </c>
      <c r="F45" s="375">
        <f t="shared" si="11"/>
        <v>309.14799290273118</v>
      </c>
      <c r="G45" s="375">
        <f t="shared" si="11"/>
        <v>928.32563162592203</v>
      </c>
      <c r="H45" s="375">
        <f t="shared" si="11"/>
        <v>1489.468811337955</v>
      </c>
      <c r="I45" s="375">
        <f t="shared" si="11"/>
        <v>1973.8334289582006</v>
      </c>
      <c r="J45" s="375">
        <f t="shared" si="11"/>
        <v>2234.1214175903956</v>
      </c>
      <c r="K45" s="375">
        <f t="shared" si="11"/>
        <v>2667.9046019782218</v>
      </c>
      <c r="L45" s="375">
        <f t="shared" si="11"/>
        <v>2981.5733825728503</v>
      </c>
      <c r="M45" s="375">
        <f t="shared" si="11"/>
        <v>3482.7798395138561</v>
      </c>
      <c r="N45" s="375">
        <f t="shared" si="11"/>
        <v>3860.2958221538738</v>
      </c>
      <c r="O45" s="375">
        <f t="shared" si="11"/>
        <v>4441.6336259890559</v>
      </c>
      <c r="P45" s="375">
        <f t="shared" si="11"/>
        <v>4895.7325428671465</v>
      </c>
      <c r="Q45" s="375">
        <f t="shared" si="11"/>
        <v>5386.2101178648318</v>
      </c>
      <c r="R45" s="375">
        <f t="shared" si="11"/>
        <v>5913.9484757758892</v>
      </c>
      <c r="S45" s="375">
        <f t="shared" si="11"/>
        <v>6445.0254824053891</v>
      </c>
      <c r="T45" s="375">
        <f t="shared" si="11"/>
        <v>6586.4229439136034</v>
      </c>
      <c r="U45" s="375">
        <f t="shared" si="11"/>
        <v>6638.1667373509681</v>
      </c>
      <c r="V45" s="375">
        <f t="shared" si="11"/>
        <v>6685.4208764596651</v>
      </c>
      <c r="W45" s="375">
        <f t="shared" si="11"/>
        <v>994.54850949509716</v>
      </c>
      <c r="X45" s="375">
        <f t="shared" si="11"/>
        <v>-3146.6138213889826</v>
      </c>
      <c r="Y45" s="375">
        <f t="shared" si="11"/>
        <v>-3238.0458033187692</v>
      </c>
      <c r="Z45" s="375">
        <f t="shared" si="11"/>
        <v>-3372.1669251099452</v>
      </c>
      <c r="AA45" s="375">
        <f t="shared" si="11"/>
        <v>-3518.5702653281369</v>
      </c>
      <c r="AB45" s="375">
        <f t="shared" si="11"/>
        <v>-3677.9474018407386</v>
      </c>
      <c r="AC45" s="375">
        <f t="shared" si="11"/>
        <v>-3851.635357469117</v>
      </c>
      <c r="AD45" s="375">
        <f t="shared" si="11"/>
        <v>-4040.7418732531528</v>
      </c>
      <c r="AE45" s="375">
        <f t="shared" si="11"/>
        <v>-4247.0052123799514</v>
      </c>
      <c r="AF45" s="375">
        <f t="shared" si="11"/>
        <v>-4471.4499747069458</v>
      </c>
      <c r="AG45" s="375">
        <f t="shared" si="11"/>
        <v>-3671.0440056424927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105868.66472957682</v>
      </c>
      <c r="D18" s="18">
        <f>Depreciation!$B$48</f>
        <v>106892.66472957682</v>
      </c>
      <c r="E18" s="18">
        <f>Depreciation!$B$48</f>
        <v>106892.66472957682</v>
      </c>
      <c r="F18" s="18">
        <f>Depreciation!$B$48</f>
        <v>106892.66472957682</v>
      </c>
      <c r="G18" s="18">
        <f>Depreciation!$B$48</f>
        <v>106892.66472957682</v>
      </c>
      <c r="H18" s="18">
        <f>Depreciation!$B$48</f>
        <v>106892.66472957682</v>
      </c>
      <c r="I18" s="18">
        <f>Depreciation!$B$48</f>
        <v>106892.66472957682</v>
      </c>
      <c r="J18" s="18">
        <f>Depreciation!$B$48</f>
        <v>106892.66472957682</v>
      </c>
      <c r="K18" s="18">
        <f>Depreciation!$B$48</f>
        <v>106892.66472957682</v>
      </c>
      <c r="L18" s="18">
        <f>Depreciation!$B$48</f>
        <v>106892.66472957682</v>
      </c>
      <c r="M18" s="18">
        <f>Depreciation!$B$48</f>
        <v>106892.66472957682</v>
      </c>
      <c r="N18" s="18">
        <f>Depreciation!$B$48</f>
        <v>106892.66472957682</v>
      </c>
      <c r="O18" s="18">
        <f>Depreciation!$B$48</f>
        <v>106892.66472957682</v>
      </c>
      <c r="P18" s="18">
        <f>Depreciation!$B$48</f>
        <v>106892.66472957682</v>
      </c>
      <c r="Q18" s="18">
        <f>Depreciation!$B$48</f>
        <v>106892.66472957682</v>
      </c>
      <c r="R18" s="18">
        <f>Depreciation!$B$48</f>
        <v>106892.66472957682</v>
      </c>
      <c r="S18" s="18">
        <f>Depreciation!$B$48</f>
        <v>106892.66472957682</v>
      </c>
      <c r="T18" s="18">
        <f>Depreciation!$B$48</f>
        <v>106892.66472957682</v>
      </c>
      <c r="U18" s="18">
        <f>Depreciation!$B$48</f>
        <v>106892.66472957682</v>
      </c>
      <c r="V18" s="18">
        <f>Depreciation!$B$48</f>
        <v>106892.66472957682</v>
      </c>
      <c r="W18" s="18">
        <f>Depreciation!$B$48</f>
        <v>106892.66472957682</v>
      </c>
      <c r="X18" s="18">
        <f>Depreciation!$B$48</f>
        <v>106892.66472957682</v>
      </c>
      <c r="Y18" s="18">
        <f>Depreciation!$B$48</f>
        <v>106892.66472957682</v>
      </c>
      <c r="Z18" s="18">
        <f>Depreciation!$B$48</f>
        <v>106892.66472957682</v>
      </c>
      <c r="AA18" s="18">
        <f>Depreciation!$B$48</f>
        <v>106892.66472957682</v>
      </c>
      <c r="AB18" s="18">
        <f>Depreciation!$B$48</f>
        <v>106892.66472957682</v>
      </c>
      <c r="AC18" s="18">
        <f>Depreciation!$B$48</f>
        <v>106892.66472957682</v>
      </c>
      <c r="AD18" s="18">
        <f>Depreciation!$B$48</f>
        <v>106892.66472957682</v>
      </c>
      <c r="AE18" s="18">
        <f>Depreciation!$B$48</f>
        <v>106892.66472957682</v>
      </c>
      <c r="AF18" s="18">
        <f>Depreciation!$B$48</f>
        <v>106892.66472957682</v>
      </c>
      <c r="AG18" s="18">
        <f>Depreciation!$B$48</f>
        <v>106892.66472957682</v>
      </c>
      <c r="AH18" s="18">
        <f>Depreciation!$B$48</f>
        <v>106892.66472957682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2345.4316327675947</v>
      </c>
      <c r="E19" s="314">
        <f>SUM(Depreciation!$D$48:E48)</f>
        <v>6366.1715746548998</v>
      </c>
      <c r="F19" s="314">
        <f>SUM(Depreciation!$D$48:F48)</f>
        <v>10386.911516542204</v>
      </c>
      <c r="G19" s="314">
        <f>SUM(Depreciation!$D$48:G48)</f>
        <v>14407.651458429509</v>
      </c>
      <c r="H19" s="314">
        <f>SUM(Depreciation!$D$48:H48)</f>
        <v>18428.391400316814</v>
      </c>
      <c r="I19" s="314">
        <f>SUM(Depreciation!$D$48:I48)</f>
        <v>21890.531342204118</v>
      </c>
      <c r="J19" s="314">
        <f>SUM(Depreciation!$D$48:J48)</f>
        <v>24953.671284091422</v>
      </c>
      <c r="K19" s="314">
        <f>SUM(Depreciation!$D$48:K48)</f>
        <v>28016.811225978727</v>
      </c>
      <c r="L19" s="314">
        <f>SUM(Depreciation!$D$48:L48)</f>
        <v>31079.951167866031</v>
      </c>
      <c r="M19" s="314">
        <f>SUM(Depreciation!$D$48:M48)</f>
        <v>34143.091109753339</v>
      </c>
      <c r="N19" s="314">
        <f>SUM(Depreciation!$D$48:N48)</f>
        <v>37206.231051640643</v>
      </c>
      <c r="O19" s="314">
        <f>SUM(Depreciation!$D$48:O48)</f>
        <v>40269.370993527948</v>
      </c>
      <c r="P19" s="314">
        <f>SUM(Depreciation!$D$48:P48)</f>
        <v>43332.510935415252</v>
      </c>
      <c r="Q19" s="314">
        <f>SUM(Depreciation!$D$48:Q48)</f>
        <v>46395.650877302556</v>
      </c>
      <c r="R19" s="314">
        <f>SUM(Depreciation!$D$48:R48)</f>
        <v>49458.79081918986</v>
      </c>
      <c r="S19" s="314">
        <f>SUM(Depreciation!$D$48:S48)</f>
        <v>52521.930761077165</v>
      </c>
      <c r="T19" s="314">
        <f>SUM(Depreciation!$D$48:T48)</f>
        <v>55585.070702964469</v>
      </c>
      <c r="U19" s="314">
        <f>SUM(Depreciation!$D$48:U48)</f>
        <v>58648.210644851773</v>
      </c>
      <c r="V19" s="314">
        <f>SUM(Depreciation!$D$48:V48)</f>
        <v>61711.350586739078</v>
      </c>
      <c r="W19" s="314">
        <f>SUM(Depreciation!$D$48:W48)</f>
        <v>64774.490528626382</v>
      </c>
      <c r="X19" s="314">
        <f>SUM(Depreciation!$D$48:X48)</f>
        <v>67837.630470513686</v>
      </c>
      <c r="Y19" s="314">
        <f>SUM(Depreciation!$D$48:Y48)</f>
        <v>70900.770412400991</v>
      </c>
      <c r="Z19" s="314">
        <f>SUM(Depreciation!$D$48:Z48)</f>
        <v>73963.910354288295</v>
      </c>
      <c r="AA19" s="314">
        <f>SUM(Depreciation!$D$48:AA48)</f>
        <v>77027.050296175599</v>
      </c>
      <c r="AB19" s="314">
        <f>SUM(Depreciation!$D$48:AB48)</f>
        <v>80090.190238062904</v>
      </c>
      <c r="AC19" s="314">
        <f>SUM(Depreciation!$D$48:AC48)</f>
        <v>83153.330179950208</v>
      </c>
      <c r="AD19" s="314">
        <f>SUM(Depreciation!$D$48:AD48)</f>
        <v>86216.470121837512</v>
      </c>
      <c r="AE19" s="314">
        <f>SUM(Depreciation!$D$48:AE48)</f>
        <v>89279.610063724816</v>
      </c>
      <c r="AF19" s="314">
        <f>SUM(Depreciation!$D$48:AF48)</f>
        <v>92342.750005612121</v>
      </c>
      <c r="AG19" s="314">
        <f>SUM(Depreciation!$D$48:AG48)</f>
        <v>95405.889947499425</v>
      </c>
      <c r="AH19" s="314">
        <f>SUM(Depreciation!$D$48:AH48)</f>
        <v>96682.198256619129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105868.66472957682</v>
      </c>
      <c r="D20" s="23">
        <f>D18-D19</f>
        <v>104547.23309680923</v>
      </c>
      <c r="E20" s="23">
        <f t="shared" ref="E20:AH20" si="2">E18-E19</f>
        <v>100526.49315492192</v>
      </c>
      <c r="F20" s="23">
        <f t="shared" si="2"/>
        <v>96505.753213034623</v>
      </c>
      <c r="G20" s="23">
        <f t="shared" si="2"/>
        <v>92485.013271147312</v>
      </c>
      <c r="H20" s="23">
        <f t="shared" si="2"/>
        <v>88464.273329260002</v>
      </c>
      <c r="I20" s="23">
        <f t="shared" si="2"/>
        <v>85002.133387372698</v>
      </c>
      <c r="J20" s="23">
        <f t="shared" si="2"/>
        <v>81938.993445485394</v>
      </c>
      <c r="K20" s="23">
        <f t="shared" si="2"/>
        <v>78875.853503598089</v>
      </c>
      <c r="L20" s="23">
        <f t="shared" si="2"/>
        <v>75812.713561710785</v>
      </c>
      <c r="M20" s="23">
        <f t="shared" si="2"/>
        <v>72749.573619823481</v>
      </c>
      <c r="N20" s="23">
        <f t="shared" si="2"/>
        <v>69686.433677936177</v>
      </c>
      <c r="O20" s="23">
        <f t="shared" si="2"/>
        <v>66623.293736048872</v>
      </c>
      <c r="P20" s="23">
        <f t="shared" si="2"/>
        <v>63560.153794161568</v>
      </c>
      <c r="Q20" s="23">
        <f t="shared" si="2"/>
        <v>60497.013852274264</v>
      </c>
      <c r="R20" s="23">
        <f t="shared" si="2"/>
        <v>57433.873910386959</v>
      </c>
      <c r="S20" s="23">
        <f t="shared" si="2"/>
        <v>54370.733968499655</v>
      </c>
      <c r="T20" s="23">
        <f t="shared" si="2"/>
        <v>51307.594026612351</v>
      </c>
      <c r="U20" s="23">
        <f t="shared" si="2"/>
        <v>48244.454084725046</v>
      </c>
      <c r="V20" s="23">
        <f t="shared" si="2"/>
        <v>45181.314142837742</v>
      </c>
      <c r="W20" s="23">
        <f t="shared" si="2"/>
        <v>42118.174200950438</v>
      </c>
      <c r="X20" s="23">
        <f t="shared" si="2"/>
        <v>39055.034259063134</v>
      </c>
      <c r="Y20" s="23">
        <f t="shared" si="2"/>
        <v>35991.894317175829</v>
      </c>
      <c r="Z20" s="23">
        <f t="shared" si="2"/>
        <v>32928.754375288525</v>
      </c>
      <c r="AA20" s="23">
        <f t="shared" si="2"/>
        <v>29865.614433401221</v>
      </c>
      <c r="AB20" s="23">
        <f t="shared" si="2"/>
        <v>26802.474491513916</v>
      </c>
      <c r="AC20" s="23">
        <f t="shared" si="2"/>
        <v>23739.334549626612</v>
      </c>
      <c r="AD20" s="23">
        <f t="shared" si="2"/>
        <v>20676.194607739308</v>
      </c>
      <c r="AE20" s="23">
        <f t="shared" si="2"/>
        <v>17613.054665852003</v>
      </c>
      <c r="AF20" s="23">
        <f t="shared" si="2"/>
        <v>14549.914723964699</v>
      </c>
      <c r="AG20" s="23">
        <f t="shared" si="2"/>
        <v>11486.774782077395</v>
      </c>
      <c r="AH20" s="23">
        <f t="shared" si="2"/>
        <v>10210.466472957691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105868.66472957682</v>
      </c>
      <c r="D25" s="23">
        <f>SUM(D16,D20,D22,D23)</f>
        <v>104547.23309680923</v>
      </c>
      <c r="E25" s="23">
        <f t="shared" ref="E25:AH25" si="3">SUM(E16,E20,E22,E23)</f>
        <v>100526.49315492192</v>
      </c>
      <c r="F25" s="23">
        <f t="shared" si="3"/>
        <v>96505.753213034623</v>
      </c>
      <c r="G25" s="23">
        <f t="shared" si="3"/>
        <v>92485.013271147312</v>
      </c>
      <c r="H25" s="23">
        <f t="shared" si="3"/>
        <v>88464.273329260002</v>
      </c>
      <c r="I25" s="23">
        <f t="shared" si="3"/>
        <v>85002.133387372698</v>
      </c>
      <c r="J25" s="23">
        <f t="shared" si="3"/>
        <v>81938.993445485394</v>
      </c>
      <c r="K25" s="23">
        <f t="shared" si="3"/>
        <v>78875.853503598089</v>
      </c>
      <c r="L25" s="23">
        <f t="shared" si="3"/>
        <v>75812.713561710785</v>
      </c>
      <c r="M25" s="23">
        <f t="shared" si="3"/>
        <v>72749.573619823481</v>
      </c>
      <c r="N25" s="23">
        <f t="shared" si="3"/>
        <v>69686.433677936177</v>
      </c>
      <c r="O25" s="23">
        <f t="shared" si="3"/>
        <v>66623.293736048872</v>
      </c>
      <c r="P25" s="23">
        <f t="shared" si="3"/>
        <v>63560.153794161568</v>
      </c>
      <c r="Q25" s="23">
        <f t="shared" si="3"/>
        <v>60497.013852274264</v>
      </c>
      <c r="R25" s="23">
        <f t="shared" si="3"/>
        <v>57433.873910386959</v>
      </c>
      <c r="S25" s="23">
        <f t="shared" si="3"/>
        <v>54370.733968499655</v>
      </c>
      <c r="T25" s="23">
        <f t="shared" si="3"/>
        <v>51307.594026612351</v>
      </c>
      <c r="U25" s="23">
        <f t="shared" si="3"/>
        <v>48244.454084725046</v>
      </c>
      <c r="V25" s="23">
        <f t="shared" si="3"/>
        <v>45181.314142837742</v>
      </c>
      <c r="W25" s="23">
        <f t="shared" si="3"/>
        <v>42118.174200950438</v>
      </c>
      <c r="X25" s="23">
        <f t="shared" si="3"/>
        <v>39055.034259063134</v>
      </c>
      <c r="Y25" s="23">
        <f t="shared" si="3"/>
        <v>35991.894317175829</v>
      </c>
      <c r="Z25" s="23">
        <f t="shared" si="3"/>
        <v>32928.754375288525</v>
      </c>
      <c r="AA25" s="23">
        <f t="shared" si="3"/>
        <v>29865.614433401221</v>
      </c>
      <c r="AB25" s="23">
        <f t="shared" si="3"/>
        <v>26802.474491513916</v>
      </c>
      <c r="AC25" s="23">
        <f t="shared" si="3"/>
        <v>23739.334549626612</v>
      </c>
      <c r="AD25" s="23">
        <f t="shared" si="3"/>
        <v>20676.194607739308</v>
      </c>
      <c r="AE25" s="23">
        <f t="shared" si="3"/>
        <v>17613.054665852003</v>
      </c>
      <c r="AF25" s="23">
        <f t="shared" si="3"/>
        <v>14549.914723964699</v>
      </c>
      <c r="AG25" s="23">
        <f t="shared" si="3"/>
        <v>11486.774782077395</v>
      </c>
      <c r="AH25" s="23">
        <f t="shared" si="3"/>
        <v>10210.466472957691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76645.682528245845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76645.682528245845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29222.982201330975</v>
      </c>
      <c r="D41" s="23">
        <f>Assumptions!$C$11</f>
        <v>29222.982201330975</v>
      </c>
      <c r="E41" s="23">
        <f>Assumptions!$C$11</f>
        <v>29222.982201330975</v>
      </c>
      <c r="F41" s="23">
        <f>Assumptions!$C$11</f>
        <v>29222.982201330975</v>
      </c>
      <c r="G41" s="23">
        <f>Assumptions!$C$11</f>
        <v>29222.982201330975</v>
      </c>
      <c r="H41" s="23">
        <f>Assumptions!$C$11</f>
        <v>29222.982201330975</v>
      </c>
      <c r="I41" s="23">
        <f>Assumptions!$C$11</f>
        <v>29222.982201330975</v>
      </c>
      <c r="J41" s="23">
        <f>Assumptions!$C$11</f>
        <v>29222.982201330975</v>
      </c>
      <c r="K41" s="23">
        <f>Assumptions!$C$11</f>
        <v>29222.982201330975</v>
      </c>
      <c r="L41" s="23">
        <f>Assumptions!$C$11</f>
        <v>29222.982201330975</v>
      </c>
      <c r="M41" s="23">
        <f>Assumptions!$C$11</f>
        <v>29222.982201330975</v>
      </c>
      <c r="N41" s="23">
        <f>Assumptions!$C$11</f>
        <v>29222.982201330975</v>
      </c>
      <c r="O41" s="23">
        <f>Assumptions!$C$11</f>
        <v>29222.982201330975</v>
      </c>
      <c r="P41" s="23">
        <f>Assumptions!$C$11</f>
        <v>29222.982201330975</v>
      </c>
      <c r="Q41" s="23">
        <f>Assumptions!$C$11</f>
        <v>29222.982201330975</v>
      </c>
      <c r="R41" s="23">
        <f>Assumptions!$C$11</f>
        <v>29222.982201330975</v>
      </c>
      <c r="S41" s="23">
        <f>Assumptions!$C$11</f>
        <v>29222.982201330975</v>
      </c>
      <c r="T41" s="23">
        <f>Assumptions!$C$11</f>
        <v>29222.982201330975</v>
      </c>
      <c r="U41" s="23">
        <f>Assumptions!$C$11</f>
        <v>29222.982201330975</v>
      </c>
      <c r="V41" s="23">
        <f>Assumptions!$C$11</f>
        <v>29222.982201330975</v>
      </c>
      <c r="W41" s="23">
        <f>Assumptions!$C$11</f>
        <v>29222.982201330975</v>
      </c>
      <c r="X41" s="23">
        <f>Assumptions!$C$11</f>
        <v>29222.982201330975</v>
      </c>
      <c r="Y41" s="23">
        <f>Assumptions!$C$11</f>
        <v>29222.982201330975</v>
      </c>
      <c r="Z41" s="23">
        <f>Assumptions!$C$11</f>
        <v>29222.982201330975</v>
      </c>
      <c r="AA41" s="23">
        <f>Assumptions!$C$11</f>
        <v>29222.982201330975</v>
      </c>
      <c r="AB41" s="23">
        <f>Assumptions!$C$11</f>
        <v>29222.982201330975</v>
      </c>
      <c r="AC41" s="23">
        <f>Assumptions!$C$11</f>
        <v>29222.982201330975</v>
      </c>
      <c r="AD41" s="23">
        <f>Assumptions!$C$11</f>
        <v>29222.982201330975</v>
      </c>
      <c r="AE41" s="23">
        <f>Assumptions!$C$11</f>
        <v>29222.982201330975</v>
      </c>
      <c r="AF41" s="23">
        <f>Assumptions!$C$11</f>
        <v>29222.982201330975</v>
      </c>
      <c r="AG41" s="23">
        <f>Assumptions!$C$11</f>
        <v>29222.982201330975</v>
      </c>
      <c r="AH41" s="23">
        <f>Assumptions!$C$11</f>
        <v>29222.982201330975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E41" sqref="E4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5603.1656179523216</v>
      </c>
      <c r="D11" s="18">
        <f>IS!D32</f>
        <v>9571.1067736325567</v>
      </c>
      <c r="E11" s="18">
        <f>IS!E32</f>
        <v>9535.7571736325572</v>
      </c>
      <c r="F11" s="18">
        <f>IS!F32</f>
        <v>10791.224565240884</v>
      </c>
      <c r="G11" s="18">
        <f>IS!G32</f>
        <v>11627.307067895552</v>
      </c>
      <c r="H11" s="18">
        <f>IS!H32</f>
        <v>11751.673540382937</v>
      </c>
      <c r="I11" s="18">
        <f>IS!I32</f>
        <v>11872.96490895472</v>
      </c>
      <c r="J11" s="18">
        <f>IS!J32</f>
        <v>11990.884737550734</v>
      </c>
      <c r="K11" s="18">
        <f>IS!K32</f>
        <v>12353.028476468284</v>
      </c>
      <c r="L11" s="18">
        <f>IS!L32</f>
        <v>12470.692415477964</v>
      </c>
      <c r="M11" s="18">
        <f>IS!M32</f>
        <v>12847.230384733335</v>
      </c>
      <c r="N11" s="18">
        <f>IS!N32</f>
        <v>12964.16992456558</v>
      </c>
      <c r="O11" s="18">
        <f>IS!O32</f>
        <v>13355.512219093574</v>
      </c>
      <c r="P11" s="18">
        <f>IS!P32</f>
        <v>13471.202734734932</v>
      </c>
      <c r="Q11" s="18">
        <f>IS!Q32</f>
        <v>13581.74220441386</v>
      </c>
      <c r="R11" s="18">
        <f>IS!R32</f>
        <v>13686.717443908523</v>
      </c>
      <c r="S11" s="18">
        <f>IS!S32</f>
        <v>13832.696162599514</v>
      </c>
      <c r="T11" s="18">
        <f>IS!T32</f>
        <v>13958.794108824613</v>
      </c>
      <c r="U11" s="18">
        <f>IS!U32</f>
        <v>14044.391782004705</v>
      </c>
      <c r="V11" s="18">
        <f>IS!V32</f>
        <v>14122.56240087765</v>
      </c>
      <c r="W11" s="18">
        <f>IS!W32</f>
        <v>4708.3814795136022</v>
      </c>
      <c r="X11" s="18">
        <f>IS!X32</f>
        <v>-2128.1769900356658</v>
      </c>
      <c r="Y11" s="18">
        <f>IS!Y32</f>
        <v>-2192.0222997367337</v>
      </c>
      <c r="Z11" s="18">
        <f>IS!Z32</f>
        <v>-2257.7829687288367</v>
      </c>
      <c r="AA11" s="18">
        <f>IS!AA32</f>
        <v>-2325.5164577907026</v>
      </c>
      <c r="AB11" s="18">
        <f>IS!AB32</f>
        <v>-2395.2819515244237</v>
      </c>
      <c r="AC11" s="18">
        <f>IS!AC32</f>
        <v>-2467.1404100701557</v>
      </c>
      <c r="AD11" s="18">
        <f>IS!AD32</f>
        <v>-2541.1546223722626</v>
      </c>
      <c r="AE11" s="18">
        <f>IS!AE32</f>
        <v>-2617.3892610434277</v>
      </c>
      <c r="AF11" s="18">
        <f>IS!AF32</f>
        <v>-2695.910938874732</v>
      </c>
      <c r="AG11" s="18">
        <f>IS!AG32</f>
        <v>-2776.7882670409736</v>
      </c>
    </row>
    <row r="12" spans="1:35">
      <c r="A12" s="45" t="s">
        <v>81</v>
      </c>
      <c r="B12" s="452">
        <v>0</v>
      </c>
      <c r="C12" s="452">
        <f>-(Debt!B36)</f>
        <v>-2176.0868660312376</v>
      </c>
      <c r="D12" s="452">
        <f>-(Debt!B44+Debt!C27+Debt!C36)</f>
        <v>-6469.762593948034</v>
      </c>
      <c r="E12" s="452">
        <f>-(Debt!C44+Debt!D27+Debt!D36)</f>
        <v>-6393.4827401776438</v>
      </c>
      <c r="F12" s="452">
        <f>-(Debt!D44+Debt!E27+Debt!E36)</f>
        <v>-6300.6915830135767</v>
      </c>
      <c r="G12" s="452">
        <f>-(Debt!E44+Debt!F27+Debt!F36)</f>
        <v>-6122.9310549468546</v>
      </c>
      <c r="H12" s="452">
        <f>-(Debt!F44+Debt!G27+Debt!G36)</f>
        <v>-5891.7711482166251</v>
      </c>
      <c r="I12" s="452">
        <f>-(Debt!G44+Debt!H27+Debt!H36)</f>
        <v>-5618.5768280412485</v>
      </c>
      <c r="J12" s="452">
        <f>-(Debt!H44+Debt!I27+Debt!I36)</f>
        <v>-5317.8055018206251</v>
      </c>
      <c r="K12" s="452">
        <f>-(Debt!I44+Debt!J27+Debt!J36)</f>
        <v>-4967.5271974529132</v>
      </c>
      <c r="L12" s="452">
        <f>-(Debt!J44+Debt!K27+Debt!K36)</f>
        <v>-4580.9876053662974</v>
      </c>
      <c r="M12" s="452">
        <f>-(Debt!K44+Debt!L27+Debt!L36)</f>
        <v>-4142.7724562932199</v>
      </c>
      <c r="N12" s="452">
        <f>-(Debt!L44+Debt!M27+Debt!M36)</f>
        <v>-3650.9400565902761</v>
      </c>
      <c r="O12" s="452">
        <f>-(Debt!M44+Debt!N27+Debt!N36)</f>
        <v>-3092.9801755590743</v>
      </c>
      <c r="P12" s="452">
        <f>-(Debt!N44+Debt!O27+Debt!O36)</f>
        <v>-2475.9095914154123</v>
      </c>
      <c r="Q12" s="452">
        <f>-(Debt!O44+Debt!P27+Debt!P36)</f>
        <v>-1791.4006096676112</v>
      </c>
      <c r="R12" s="452">
        <f>-(Debt!P44+Debt!Q27+Debt!Q36)</f>
        <v>-1041.4330880526204</v>
      </c>
      <c r="S12" s="452">
        <f>-(Debt!Q44+Debt!R27+Debt!R36)</f>
        <v>-215.32579404045737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-6.9451673073672628</v>
      </c>
      <c r="Y12" s="452">
        <f>-(Debt!W44+Debt!X27+Debt!X36)</f>
        <v>-64.564768330556561</v>
      </c>
      <c r="Z12" s="452">
        <f>-(Debt!X44+Debt!Y27+Debt!Y36)</f>
        <v>-216.59654295690734</v>
      </c>
      <c r="AA12" s="452">
        <f>-(Debt!Y44+Debt!Z27+Debt!Z36)</f>
        <v>-385.95251084017679</v>
      </c>
      <c r="AB12" s="452">
        <f>-(Debt!Z44+Debt!AA27+Debt!AA36)</f>
        <v>-574.91209248103075</v>
      </c>
      <c r="AC12" s="452">
        <f>-(Debt!AA44+Debt!AB27+Debt!AB36)</f>
        <v>-784.76850631110347</v>
      </c>
      <c r="AD12" s="452">
        <f>-(Debt!AB44+Debt!AC27+Debt!AC36)</f>
        <v>-1018.2346269261129</v>
      </c>
      <c r="AE12" s="452">
        <f>-(Debt!AC44+Debt!AD27+Debt!AD36)</f>
        <v>-1274.9504007065457</v>
      </c>
      <c r="AF12" s="452">
        <f>-(Debt!AD44+Debt!AE27+Debt!AE36)</f>
        <v>-1561.1766678241297</v>
      </c>
      <c r="AG12" s="452">
        <f>-(Debt!AE44+Debt!AF27+Debt!AF36)</f>
        <v>-1057.1774924468141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3427.0787519210839</v>
      </c>
      <c r="D13" s="64">
        <f t="shared" si="0"/>
        <v>3101.3441796845227</v>
      </c>
      <c r="E13" s="64">
        <f t="shared" si="0"/>
        <v>3142.2744334549134</v>
      </c>
      <c r="F13" s="64">
        <f t="shared" si="0"/>
        <v>4490.532982227307</v>
      </c>
      <c r="G13" s="64">
        <f t="shared" si="0"/>
        <v>5504.3760129486973</v>
      </c>
      <c r="H13" s="64">
        <f t="shared" si="0"/>
        <v>5859.902392166312</v>
      </c>
      <c r="I13" s="64">
        <f t="shared" si="0"/>
        <v>6254.3880809134716</v>
      </c>
      <c r="J13" s="64">
        <f t="shared" si="0"/>
        <v>6673.0792357301088</v>
      </c>
      <c r="K13" s="64">
        <f t="shared" si="0"/>
        <v>7385.5012790153705</v>
      </c>
      <c r="L13" s="64">
        <f t="shared" si="0"/>
        <v>7889.704810111667</v>
      </c>
      <c r="M13" s="64">
        <f t="shared" si="0"/>
        <v>8704.4579284401152</v>
      </c>
      <c r="N13" s="64">
        <f t="shared" si="0"/>
        <v>9313.2298679753039</v>
      </c>
      <c r="O13" s="64">
        <f t="shared" si="0"/>
        <v>10262.5320435345</v>
      </c>
      <c r="P13" s="64">
        <f t="shared" si="0"/>
        <v>10995.293143319519</v>
      </c>
      <c r="Q13" s="64">
        <f t="shared" si="0"/>
        <v>11790.341594746249</v>
      </c>
      <c r="R13" s="64">
        <f t="shared" si="0"/>
        <v>12645.284355855903</v>
      </c>
      <c r="S13" s="64">
        <f t="shared" si="0"/>
        <v>13617.370368559055</v>
      </c>
      <c r="T13" s="64">
        <f t="shared" si="0"/>
        <v>13958.794108824613</v>
      </c>
      <c r="U13" s="64">
        <f t="shared" si="0"/>
        <v>14044.391782004705</v>
      </c>
      <c r="V13" s="64">
        <f t="shared" si="0"/>
        <v>14122.56240087765</v>
      </c>
      <c r="W13" s="64">
        <f t="shared" si="0"/>
        <v>4708.3814795136022</v>
      </c>
      <c r="X13" s="64">
        <f t="shared" si="0"/>
        <v>-2135.122157343033</v>
      </c>
      <c r="Y13" s="64">
        <f t="shared" si="0"/>
        <v>-2256.5870680672901</v>
      </c>
      <c r="Z13" s="64">
        <f t="shared" si="0"/>
        <v>-2474.3795116857441</v>
      </c>
      <c r="AA13" s="64">
        <f t="shared" si="0"/>
        <v>-2711.4689686308793</v>
      </c>
      <c r="AB13" s="64">
        <f t="shared" si="0"/>
        <v>-2970.1940440054545</v>
      </c>
      <c r="AC13" s="64">
        <f t="shared" si="0"/>
        <v>-3251.9089163812591</v>
      </c>
      <c r="AD13" s="64">
        <f t="shared" si="0"/>
        <v>-3559.3892492983755</v>
      </c>
      <c r="AE13" s="64">
        <f t="shared" si="0"/>
        <v>-3892.3396617499734</v>
      </c>
      <c r="AF13" s="64">
        <f t="shared" si="0"/>
        <v>-4257.0876066988621</v>
      </c>
      <c r="AG13" s="64">
        <f t="shared" si="0"/>
        <v>-3833.9657594877876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-469.32988344234536</v>
      </c>
      <c r="R15" s="18">
        <f>-Taxes!Q24-Taxes!Q41</f>
        <v>-3889.4494640662606</v>
      </c>
      <c r="S15" s="18">
        <f>-Taxes!R24-Taxes!R41</f>
        <v>-5428.1924066381507</v>
      </c>
      <c r="T15" s="18">
        <f>-Taxes!S24-Taxes!S41</f>
        <v>-5520.7030700401338</v>
      </c>
      <c r="U15" s="18">
        <f>-Taxes!T24-Taxes!T41</f>
        <v>-5554.556949782861</v>
      </c>
      <c r="V15" s="18">
        <f>-Taxes!U24-Taxes!U41</f>
        <v>-5585.4734295471098</v>
      </c>
      <c r="W15" s="18">
        <f>-Taxes!V24-Taxes!V41</f>
        <v>-1862.1648751476296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-292.62460161116906</v>
      </c>
      <c r="D16" s="23">
        <f>-Debt!C48</f>
        <v>-898.488438995264</v>
      </c>
      <c r="E16" s="23">
        <f>-Debt!D48</f>
        <v>-948.49446103601076</v>
      </c>
      <c r="F16" s="23">
        <f>-Debt!E48</f>
        <v>-1765.1303299638967</v>
      </c>
      <c r="G16" s="23">
        <f>-Debt!F48</f>
        <v>-2655.1522074536624</v>
      </c>
      <c r="H16" s="23">
        <f>-Debt!G48</f>
        <v>-3124.1266246883897</v>
      </c>
      <c r="I16" s="23">
        <f>-Debt!H48</f>
        <v>-3491.2117435676992</v>
      </c>
      <c r="J16" s="23">
        <f>-Debt!I48</f>
        <v>-3889.6203464366772</v>
      </c>
      <c r="K16" s="23">
        <f>-Debt!J48</f>
        <v>-4459.0670564461834</v>
      </c>
      <c r="L16" s="23">
        <f>-Debt!K48</f>
        <v>-4989.2870272987711</v>
      </c>
      <c r="M16" s="23">
        <f>-Debt!L48</f>
        <v>-5667.4996938130644</v>
      </c>
      <c r="N16" s="23">
        <f>-Debt!M48</f>
        <v>-6305.8646983268773</v>
      </c>
      <c r="O16" s="23">
        <f>-Debt!N48</f>
        <v>-7098.6457028405421</v>
      </c>
      <c r="P16" s="23">
        <f>-Debt!O48</f>
        <v>-7864.366828510585</v>
      </c>
      <c r="Q16" s="23">
        <f>-Debt!P48</f>
        <v>-8634.8940433782846</v>
      </c>
      <c r="R16" s="23">
        <f>-Debt!Q48</f>
        <v>-9473.8505829529568</v>
      </c>
      <c r="S16" s="23">
        <f>-Debt!R48</f>
        <v>-5087.3581409258104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332.88358803241397</v>
      </c>
      <c r="Y16" s="23">
        <f>-Debt!X48</f>
        <v>1738.4914621579765</v>
      </c>
      <c r="Z16" s="23">
        <f>-Debt!Y48</f>
        <v>1941.9240962697918</v>
      </c>
      <c r="AA16" s="23">
        <f>-Debt!Z48</f>
        <v>2160.6382816510454</v>
      </c>
      <c r="AB16" s="23">
        <f>-Debt!AA48</f>
        <v>2404.0569868469856</v>
      </c>
      <c r="AC16" s="23">
        <f>-Debt!AB48</f>
        <v>2668.7877475080386</v>
      </c>
      <c r="AD16" s="23">
        <f>-Debt!AC48</f>
        <v>2960.1059883155103</v>
      </c>
      <c r="AE16" s="23">
        <f>-Debt!AD48</f>
        <v>3272.3748707358191</v>
      </c>
      <c r="AF16" s="23">
        <f>-Debt!AE48</f>
        <v>3619.8953611995385</v>
      </c>
      <c r="AG16" s="23">
        <f>-Debt!AF48</f>
        <v>3710.1924827683215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3134.4541503099149</v>
      </c>
      <c r="D18" s="64">
        <f t="shared" si="1"/>
        <v>2202.8557406892587</v>
      </c>
      <c r="E18" s="64">
        <f t="shared" si="1"/>
        <v>2193.7799724189026</v>
      </c>
      <c r="F18" s="64">
        <f t="shared" si="1"/>
        <v>2725.4026522634103</v>
      </c>
      <c r="G18" s="64">
        <f t="shared" si="1"/>
        <v>2849.2238054950349</v>
      </c>
      <c r="H18" s="64">
        <f t="shared" si="1"/>
        <v>2735.7757674779223</v>
      </c>
      <c r="I18" s="64">
        <f t="shared" si="1"/>
        <v>2763.1763373457725</v>
      </c>
      <c r="J18" s="64">
        <f t="shared" si="1"/>
        <v>2783.4588892934316</v>
      </c>
      <c r="K18" s="64">
        <f t="shared" si="1"/>
        <v>2926.4342225691871</v>
      </c>
      <c r="L18" s="64">
        <f t="shared" si="1"/>
        <v>2900.4177828128959</v>
      </c>
      <c r="M18" s="64">
        <f t="shared" si="1"/>
        <v>3036.9582346270508</v>
      </c>
      <c r="N18" s="64">
        <f t="shared" si="1"/>
        <v>3007.3651696484267</v>
      </c>
      <c r="O18" s="64">
        <f t="shared" si="1"/>
        <v>3163.8863406939581</v>
      </c>
      <c r="P18" s="64">
        <f t="shared" si="1"/>
        <v>3130.926314808934</v>
      </c>
      <c r="Q18" s="64">
        <f t="shared" si="1"/>
        <v>2686.1176679256191</v>
      </c>
      <c r="R18" s="64">
        <f t="shared" si="1"/>
        <v>-718.01569116331393</v>
      </c>
      <c r="S18" s="64">
        <f t="shared" si="1"/>
        <v>3101.8198209950933</v>
      </c>
      <c r="T18" s="64">
        <f t="shared" si="1"/>
        <v>8438.0910387844797</v>
      </c>
      <c r="U18" s="64">
        <f t="shared" si="1"/>
        <v>8489.8348322218444</v>
      </c>
      <c r="V18" s="64">
        <f t="shared" si="1"/>
        <v>8537.0889713305405</v>
      </c>
      <c r="W18" s="64">
        <f t="shared" si="1"/>
        <v>2846.2166043659727</v>
      </c>
      <c r="X18" s="64">
        <f t="shared" si="1"/>
        <v>-1802.2385693106189</v>
      </c>
      <c r="Y18" s="64">
        <f t="shared" si="1"/>
        <v>-518.09560590931369</v>
      </c>
      <c r="Z18" s="64">
        <f t="shared" si="1"/>
        <v>-532.4554154159523</v>
      </c>
      <c r="AA18" s="64">
        <f t="shared" si="1"/>
        <v>-550.8306869798339</v>
      </c>
      <c r="AB18" s="64">
        <f t="shared" si="1"/>
        <v>-566.13705715846891</v>
      </c>
      <c r="AC18" s="64">
        <f t="shared" si="1"/>
        <v>-583.12116887322054</v>
      </c>
      <c r="AD18" s="64">
        <f t="shared" si="1"/>
        <v>-599.28326098286516</v>
      </c>
      <c r="AE18" s="64">
        <f t="shared" si="1"/>
        <v>-619.96479101415434</v>
      </c>
      <c r="AF18" s="64">
        <f t="shared" si="1"/>
        <v>-637.19224549932369</v>
      </c>
      <c r="AG18" s="64">
        <f t="shared" si="1"/>
        <v>-123.77327671946614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3134.4541503099149</v>
      </c>
      <c r="D21" s="64">
        <f t="shared" si="2"/>
        <v>2202.8557406892587</v>
      </c>
      <c r="E21" s="64">
        <f t="shared" si="2"/>
        <v>2193.7799724189026</v>
      </c>
      <c r="F21" s="64">
        <f t="shared" si="2"/>
        <v>2725.4026522634103</v>
      </c>
      <c r="G21" s="64">
        <f t="shared" si="2"/>
        <v>2849.2238054950349</v>
      </c>
      <c r="H21" s="64">
        <f t="shared" si="2"/>
        <v>2735.7757674779223</v>
      </c>
      <c r="I21" s="64">
        <f t="shared" si="2"/>
        <v>2763.1763373457725</v>
      </c>
      <c r="J21" s="64">
        <f t="shared" si="2"/>
        <v>2783.4588892934316</v>
      </c>
      <c r="K21" s="64">
        <f t="shared" si="2"/>
        <v>2926.4342225691871</v>
      </c>
      <c r="L21" s="64">
        <f t="shared" si="2"/>
        <v>2900.4177828128959</v>
      </c>
      <c r="M21" s="64">
        <f t="shared" si="2"/>
        <v>3036.9582346270508</v>
      </c>
      <c r="N21" s="64">
        <f t="shared" si="2"/>
        <v>3007.3651696484267</v>
      </c>
      <c r="O21" s="64">
        <f t="shared" si="2"/>
        <v>3163.8863406939581</v>
      </c>
      <c r="P21" s="64">
        <f t="shared" si="2"/>
        <v>3130.926314808934</v>
      </c>
      <c r="Q21" s="64">
        <f t="shared" si="2"/>
        <v>2686.1176679256191</v>
      </c>
      <c r="R21" s="64">
        <f t="shared" si="2"/>
        <v>-718.01569116331393</v>
      </c>
      <c r="S21" s="64">
        <f t="shared" si="2"/>
        <v>3101.8198209950933</v>
      </c>
      <c r="T21" s="64">
        <f t="shared" si="2"/>
        <v>8438.0910387844797</v>
      </c>
      <c r="U21" s="64">
        <f t="shared" si="2"/>
        <v>8489.8348322218444</v>
      </c>
      <c r="V21" s="64">
        <f t="shared" si="2"/>
        <v>8537.0889713305405</v>
      </c>
      <c r="W21" s="64">
        <f t="shared" si="2"/>
        <v>2846.2166043659727</v>
      </c>
      <c r="X21" s="64">
        <f t="shared" si="2"/>
        <v>-1802.2385693106189</v>
      </c>
      <c r="Y21" s="64">
        <f t="shared" si="2"/>
        <v>-518.09560590931369</v>
      </c>
      <c r="Z21" s="64">
        <f t="shared" si="2"/>
        <v>-532.4554154159523</v>
      </c>
      <c r="AA21" s="64">
        <f t="shared" si="2"/>
        <v>-550.8306869798339</v>
      </c>
      <c r="AB21" s="64">
        <f t="shared" si="2"/>
        <v>-566.13705715846891</v>
      </c>
      <c r="AC21" s="64">
        <f t="shared" si="2"/>
        <v>-583.12116887322054</v>
      </c>
      <c r="AD21" s="64">
        <f t="shared" si="2"/>
        <v>-599.28326098286516</v>
      </c>
      <c r="AE21" s="64">
        <f t="shared" si="2"/>
        <v>-619.96479101415434</v>
      </c>
      <c r="AF21" s="64">
        <f t="shared" si="2"/>
        <v>-637.19224549932369</v>
      </c>
      <c r="AG21" s="64">
        <f t="shared" si="2"/>
        <v>-123.77327671946614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-29222.982201330975</v>
      </c>
      <c r="C25" s="18">
        <f t="shared" ref="C25:V25" si="3">+B29</f>
        <v>-29222.982201330975</v>
      </c>
      <c r="D25" s="18">
        <f t="shared" si="3"/>
        <v>-29222.982201330975</v>
      </c>
      <c r="E25" s="18">
        <f t="shared" si="3"/>
        <v>-29222.982201330975</v>
      </c>
      <c r="F25" s="18">
        <f t="shared" si="3"/>
        <v>-29222.982201330975</v>
      </c>
      <c r="G25" s="18">
        <f t="shared" si="3"/>
        <v>-29222.982201330975</v>
      </c>
      <c r="H25" s="18">
        <f t="shared" si="3"/>
        <v>-29222.982201330975</v>
      </c>
      <c r="I25" s="18">
        <f t="shared" si="3"/>
        <v>-29222.982201330975</v>
      </c>
      <c r="J25" s="18">
        <f t="shared" si="3"/>
        <v>-29222.982201330975</v>
      </c>
      <c r="K25" s="18">
        <f t="shared" si="3"/>
        <v>-29222.982201330975</v>
      </c>
      <c r="L25" s="18">
        <f t="shared" si="3"/>
        <v>-29222.982201330975</v>
      </c>
      <c r="M25" s="18">
        <f t="shared" si="3"/>
        <v>-29222.982201330975</v>
      </c>
      <c r="N25" s="18">
        <f t="shared" si="3"/>
        <v>-29222.982201330975</v>
      </c>
      <c r="O25" s="18">
        <f t="shared" si="3"/>
        <v>-29222.982201330975</v>
      </c>
      <c r="P25" s="18">
        <f t="shared" si="3"/>
        <v>-29222.982201330975</v>
      </c>
      <c r="Q25" s="18">
        <f t="shared" si="3"/>
        <v>-29222.982201330975</v>
      </c>
      <c r="R25" s="18">
        <f t="shared" si="3"/>
        <v>-29222.982201330975</v>
      </c>
      <c r="S25" s="18">
        <f t="shared" si="3"/>
        <v>-29222.982201330975</v>
      </c>
      <c r="T25" s="18">
        <f t="shared" si="3"/>
        <v>-29222.982201330975</v>
      </c>
      <c r="U25" s="18">
        <f t="shared" si="3"/>
        <v>-24876.108670732832</v>
      </c>
      <c r="V25" s="18">
        <f t="shared" si="3"/>
        <v>-19868.929052413587</v>
      </c>
      <c r="W25" s="18">
        <f t="shared" ref="W25:AG25" si="4">+V29</f>
        <v>-14113.490148420948</v>
      </c>
      <c r="X25" s="18">
        <f t="shared" si="4"/>
        <v>-13243.162164833908</v>
      </c>
      <c r="Y25" s="18">
        <f t="shared" si="4"/>
        <v>-13243.162164833908</v>
      </c>
      <c r="Z25" s="18">
        <f t="shared" si="4"/>
        <v>-13243.162164833908</v>
      </c>
      <c r="AA25" s="18">
        <f t="shared" si="4"/>
        <v>-13243.162164833908</v>
      </c>
      <c r="AB25" s="18">
        <f t="shared" si="4"/>
        <v>-13243.162164833908</v>
      </c>
      <c r="AC25" s="18">
        <f t="shared" si="4"/>
        <v>-13243.162164833908</v>
      </c>
      <c r="AD25" s="18">
        <f t="shared" si="4"/>
        <v>-13243.162164833908</v>
      </c>
      <c r="AE25" s="18">
        <f t="shared" si="4"/>
        <v>-13243.162164833908</v>
      </c>
      <c r="AF25" s="18">
        <f t="shared" si="4"/>
        <v>-13243.162164833908</v>
      </c>
      <c r="AG25" s="18">
        <f t="shared" si="4"/>
        <v>-13243.162164833908</v>
      </c>
    </row>
    <row r="26" spans="1:33">
      <c r="A26" s="45" t="s">
        <v>369</v>
      </c>
      <c r="B26" s="18">
        <v>0</v>
      </c>
      <c r="C26" s="18">
        <f>+-B25*$B$24</f>
        <v>4091.217508186337</v>
      </c>
      <c r="D26" s="18">
        <f t="shared" ref="D26:V26" si="5">+-D25*$B$24</f>
        <v>4091.217508186337</v>
      </c>
      <c r="E26" s="18">
        <f t="shared" si="5"/>
        <v>4091.217508186337</v>
      </c>
      <c r="F26" s="18">
        <f t="shared" si="5"/>
        <v>4091.217508186337</v>
      </c>
      <c r="G26" s="18">
        <f t="shared" si="5"/>
        <v>4091.217508186337</v>
      </c>
      <c r="H26" s="18">
        <f t="shared" si="5"/>
        <v>4091.217508186337</v>
      </c>
      <c r="I26" s="18">
        <f t="shared" si="5"/>
        <v>4091.217508186337</v>
      </c>
      <c r="J26" s="18">
        <f t="shared" si="5"/>
        <v>4091.217508186337</v>
      </c>
      <c r="K26" s="18">
        <f t="shared" si="5"/>
        <v>4091.217508186337</v>
      </c>
      <c r="L26" s="18">
        <f t="shared" si="5"/>
        <v>4091.217508186337</v>
      </c>
      <c r="M26" s="18">
        <f t="shared" si="5"/>
        <v>4091.217508186337</v>
      </c>
      <c r="N26" s="18">
        <f t="shared" si="5"/>
        <v>4091.217508186337</v>
      </c>
      <c r="O26" s="18">
        <f t="shared" si="5"/>
        <v>4091.217508186337</v>
      </c>
      <c r="P26" s="18">
        <f t="shared" si="5"/>
        <v>4091.217508186337</v>
      </c>
      <c r="Q26" s="18">
        <f t="shared" si="5"/>
        <v>4091.217508186337</v>
      </c>
      <c r="R26" s="18">
        <f t="shared" si="5"/>
        <v>4091.217508186337</v>
      </c>
      <c r="S26" s="18">
        <f t="shared" si="5"/>
        <v>4091.217508186337</v>
      </c>
      <c r="T26" s="18">
        <f t="shared" si="5"/>
        <v>4091.217508186337</v>
      </c>
      <c r="U26" s="18">
        <f t="shared" si="5"/>
        <v>3482.6552139025966</v>
      </c>
      <c r="V26" s="18">
        <f t="shared" si="5"/>
        <v>2781.6500673379023</v>
      </c>
      <c r="W26" s="18">
        <f t="shared" ref="W26:AG26" si="6">+-W25*$B$24</f>
        <v>1975.8886207789328</v>
      </c>
      <c r="X26" s="18">
        <f t="shared" si="6"/>
        <v>1854.0427030767473</v>
      </c>
      <c r="Y26" s="18">
        <f t="shared" si="6"/>
        <v>1854.0427030767473</v>
      </c>
      <c r="Z26" s="18">
        <f t="shared" si="6"/>
        <v>1854.0427030767473</v>
      </c>
      <c r="AA26" s="18">
        <f t="shared" si="6"/>
        <v>1854.0427030767473</v>
      </c>
      <c r="AB26" s="18">
        <f t="shared" si="6"/>
        <v>1854.0427030767473</v>
      </c>
      <c r="AC26" s="18">
        <f t="shared" si="6"/>
        <v>1854.0427030767473</v>
      </c>
      <c r="AD26" s="18">
        <f t="shared" si="6"/>
        <v>1854.0427030767473</v>
      </c>
      <c r="AE26" s="18">
        <f t="shared" si="6"/>
        <v>1854.0427030767473</v>
      </c>
      <c r="AF26" s="18">
        <f t="shared" si="6"/>
        <v>1854.0427030767473</v>
      </c>
      <c r="AG26" s="18">
        <f t="shared" si="6"/>
        <v>1854.0427030767473</v>
      </c>
    </row>
    <row r="27" spans="1:33">
      <c r="A27" s="45" t="s">
        <v>365</v>
      </c>
      <c r="B27" s="18">
        <f>B21</f>
        <v>0</v>
      </c>
      <c r="C27" s="18">
        <f t="shared" ref="C27:AG27" si="7">C21</f>
        <v>3134.4541503099149</v>
      </c>
      <c r="D27" s="18">
        <f t="shared" si="7"/>
        <v>2202.8557406892587</v>
      </c>
      <c r="E27" s="18">
        <f t="shared" si="7"/>
        <v>2193.7799724189026</v>
      </c>
      <c r="F27" s="18">
        <f t="shared" si="7"/>
        <v>2725.4026522634103</v>
      </c>
      <c r="G27" s="18">
        <f t="shared" si="7"/>
        <v>2849.2238054950349</v>
      </c>
      <c r="H27" s="18">
        <f t="shared" si="7"/>
        <v>2735.7757674779223</v>
      </c>
      <c r="I27" s="18">
        <f t="shared" si="7"/>
        <v>2763.1763373457725</v>
      </c>
      <c r="J27" s="18">
        <f t="shared" si="7"/>
        <v>2783.4588892934316</v>
      </c>
      <c r="K27" s="18">
        <f t="shared" si="7"/>
        <v>2926.4342225691871</v>
      </c>
      <c r="L27" s="18">
        <f t="shared" si="7"/>
        <v>2900.4177828128959</v>
      </c>
      <c r="M27" s="18">
        <f t="shared" si="7"/>
        <v>3036.9582346270508</v>
      </c>
      <c r="N27" s="18">
        <f t="shared" si="7"/>
        <v>3007.3651696484267</v>
      </c>
      <c r="O27" s="18">
        <f t="shared" si="7"/>
        <v>3163.8863406939581</v>
      </c>
      <c r="P27" s="18">
        <f t="shared" si="7"/>
        <v>3130.926314808934</v>
      </c>
      <c r="Q27" s="18">
        <f t="shared" si="7"/>
        <v>2686.1176679256191</v>
      </c>
      <c r="R27" s="18">
        <f t="shared" si="7"/>
        <v>-718.01569116331393</v>
      </c>
      <c r="S27" s="18">
        <f t="shared" si="7"/>
        <v>3101.8198209950933</v>
      </c>
      <c r="T27" s="18">
        <f t="shared" si="7"/>
        <v>8438.0910387844797</v>
      </c>
      <c r="U27" s="18">
        <f t="shared" si="7"/>
        <v>8489.8348322218444</v>
      </c>
      <c r="V27" s="18">
        <f t="shared" si="7"/>
        <v>8537.0889713305405</v>
      </c>
      <c r="W27" s="18">
        <f t="shared" si="7"/>
        <v>2846.2166043659727</v>
      </c>
      <c r="X27" s="18">
        <f t="shared" si="7"/>
        <v>-1802.2385693106189</v>
      </c>
      <c r="Y27" s="18">
        <f t="shared" si="7"/>
        <v>-518.09560590931369</v>
      </c>
      <c r="Z27" s="18">
        <f t="shared" si="7"/>
        <v>-532.4554154159523</v>
      </c>
      <c r="AA27" s="18">
        <f t="shared" si="7"/>
        <v>-550.8306869798339</v>
      </c>
      <c r="AB27" s="18">
        <f t="shared" si="7"/>
        <v>-566.13705715846891</v>
      </c>
      <c r="AC27" s="18">
        <f t="shared" si="7"/>
        <v>-583.12116887322054</v>
      </c>
      <c r="AD27" s="18">
        <f t="shared" si="7"/>
        <v>-599.28326098286516</v>
      </c>
      <c r="AE27" s="18">
        <f t="shared" si="7"/>
        <v>-619.96479101415434</v>
      </c>
      <c r="AF27" s="18">
        <f t="shared" si="7"/>
        <v>-637.19224549932369</v>
      </c>
      <c r="AG27" s="18">
        <f t="shared" si="7"/>
        <v>-123.77327671946614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4346.8735305981427</v>
      </c>
      <c r="U28" s="315">
        <f t="shared" si="8"/>
        <v>5007.1796183192473</v>
      </c>
      <c r="V28" s="315">
        <f t="shared" si="8"/>
        <v>5755.4389039926382</v>
      </c>
      <c r="W28" s="315">
        <f t="shared" ref="W28:AG28" si="9">+IF(W27&gt;W26,W27-W26,0)</f>
        <v>870.32798358703985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-29222.982201330975</v>
      </c>
      <c r="C29" s="18">
        <f t="shared" si="10"/>
        <v>-29222.982201330975</v>
      </c>
      <c r="D29" s="18">
        <f t="shared" si="10"/>
        <v>-29222.982201330975</v>
      </c>
      <c r="E29" s="18">
        <f t="shared" si="10"/>
        <v>-29222.982201330975</v>
      </c>
      <c r="F29" s="18">
        <f t="shared" si="10"/>
        <v>-29222.982201330975</v>
      </c>
      <c r="G29" s="18">
        <f t="shared" si="10"/>
        <v>-29222.982201330975</v>
      </c>
      <c r="H29" s="18">
        <f t="shared" si="10"/>
        <v>-29222.982201330975</v>
      </c>
      <c r="I29" s="18">
        <f t="shared" si="10"/>
        <v>-29222.982201330975</v>
      </c>
      <c r="J29" s="18">
        <f t="shared" si="10"/>
        <v>-29222.982201330975</v>
      </c>
      <c r="K29" s="18">
        <f t="shared" si="10"/>
        <v>-29222.982201330975</v>
      </c>
      <c r="L29" s="18">
        <f t="shared" si="10"/>
        <v>-29222.982201330975</v>
      </c>
      <c r="M29" s="18">
        <f t="shared" si="10"/>
        <v>-29222.982201330975</v>
      </c>
      <c r="N29" s="18">
        <f t="shared" si="10"/>
        <v>-29222.982201330975</v>
      </c>
      <c r="O29" s="18">
        <f t="shared" si="10"/>
        <v>-29222.982201330975</v>
      </c>
      <c r="P29" s="18">
        <f t="shared" si="10"/>
        <v>-29222.982201330975</v>
      </c>
      <c r="Q29" s="18">
        <f t="shared" si="10"/>
        <v>-29222.982201330975</v>
      </c>
      <c r="R29" s="18">
        <f t="shared" si="10"/>
        <v>-29222.982201330975</v>
      </c>
      <c r="S29" s="18">
        <f t="shared" si="10"/>
        <v>-29222.982201330975</v>
      </c>
      <c r="T29" s="18">
        <f t="shared" si="10"/>
        <v>-24876.108670732832</v>
      </c>
      <c r="U29" s="18">
        <f t="shared" si="10"/>
        <v>-19868.929052413587</v>
      </c>
      <c r="V29" s="18">
        <f t="shared" si="10"/>
        <v>-14113.490148420948</v>
      </c>
      <c r="W29" s="18">
        <f t="shared" ref="W29:AG29" si="11">+W25+W28</f>
        <v>-13243.162164833908</v>
      </c>
      <c r="X29" s="18">
        <f t="shared" si="11"/>
        <v>-13243.162164833908</v>
      </c>
      <c r="Y29" s="18">
        <f t="shared" si="11"/>
        <v>-13243.162164833908</v>
      </c>
      <c r="Z29" s="18">
        <f t="shared" si="11"/>
        <v>-13243.162164833908</v>
      </c>
      <c r="AA29" s="18">
        <f t="shared" si="11"/>
        <v>-13243.162164833908</v>
      </c>
      <c r="AB29" s="18">
        <f t="shared" si="11"/>
        <v>-13243.162164833908</v>
      </c>
      <c r="AC29" s="18">
        <f t="shared" si="11"/>
        <v>-13243.162164833908</v>
      </c>
      <c r="AD29" s="18">
        <f t="shared" si="11"/>
        <v>-13243.162164833908</v>
      </c>
      <c r="AE29" s="18">
        <f t="shared" si="11"/>
        <v>-13243.162164833908</v>
      </c>
      <c r="AF29" s="18">
        <f t="shared" si="11"/>
        <v>-13243.162164833908</v>
      </c>
      <c r="AG29" s="18">
        <f t="shared" si="11"/>
        <v>-13243.162164833908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-29222.982201330975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3134.4541503099149</v>
      </c>
      <c r="D37" s="462">
        <f>D21*Assumptions!$G$48</f>
        <v>2202.8557406892587</v>
      </c>
      <c r="E37" s="462">
        <f>E21*Assumptions!$G$48</f>
        <v>2193.7799724189026</v>
      </c>
      <c r="F37" s="462">
        <f>F21*Assumptions!$G$48</f>
        <v>2725.4026522634103</v>
      </c>
      <c r="G37" s="462">
        <f>G21*Assumptions!$G$48</f>
        <v>2849.2238054950349</v>
      </c>
      <c r="H37" s="462">
        <f>H21*Assumptions!$G$48</f>
        <v>2735.7757674779223</v>
      </c>
      <c r="I37" s="462">
        <f>I21*Assumptions!$G$48</f>
        <v>2763.1763373457725</v>
      </c>
      <c r="J37" s="462">
        <f>J21*Assumptions!$G$48</f>
        <v>2783.4588892934316</v>
      </c>
      <c r="K37" s="462">
        <f>K21*Assumptions!$G$48</f>
        <v>2926.4342225691871</v>
      </c>
      <c r="L37" s="462">
        <f>L21*Assumptions!$G$48</f>
        <v>2900.4177828128959</v>
      </c>
      <c r="M37" s="462">
        <f>M21*Assumptions!$G$48</f>
        <v>3036.9582346270508</v>
      </c>
      <c r="N37" s="462">
        <f>N21*Assumptions!$G$48</f>
        <v>3007.3651696484267</v>
      </c>
      <c r="O37" s="462">
        <f>O21*Assumptions!$G$48</f>
        <v>3163.8863406939581</v>
      </c>
      <c r="P37" s="462">
        <f>P21*Assumptions!$G$48</f>
        <v>3130.926314808934</v>
      </c>
      <c r="Q37" s="462">
        <f>Q21*Assumptions!$G$48</f>
        <v>2686.1176679256191</v>
      </c>
      <c r="R37" s="462">
        <f>R21*Assumptions!$G$48</f>
        <v>-718.01569116331393</v>
      </c>
      <c r="S37" s="462">
        <f>S21*Assumptions!$G$48</f>
        <v>3101.8198209950933</v>
      </c>
      <c r="T37" s="462">
        <f>T21*Assumptions!$G$48</f>
        <v>8438.0910387844797</v>
      </c>
      <c r="U37" s="462">
        <f>U21*Assumptions!$G$48</f>
        <v>8489.8348322218444</v>
      </c>
      <c r="V37" s="462">
        <f>V21*Assumptions!$G$48</f>
        <v>8537.0889713305405</v>
      </c>
      <c r="W37" s="462">
        <f>W21*Assumptions!$G$48</f>
        <v>2846.2166043659727</v>
      </c>
      <c r="X37" s="462">
        <f>X21*Assumptions!$G$48</f>
        <v>-1802.2385693106189</v>
      </c>
      <c r="Y37" s="462">
        <f>Y21*Assumptions!$G$48</f>
        <v>-518.09560590931369</v>
      </c>
      <c r="Z37" s="462">
        <f>Z21*Assumptions!$G$48</f>
        <v>-532.4554154159523</v>
      </c>
      <c r="AA37" s="462">
        <f>AA21*Assumptions!$G$48</f>
        <v>-550.8306869798339</v>
      </c>
      <c r="AB37" s="462">
        <f>AB21*Assumptions!$G$48</f>
        <v>-566.13705715846891</v>
      </c>
      <c r="AC37" s="462">
        <f>AC21*Assumptions!$G$48</f>
        <v>-583.12116887322054</v>
      </c>
      <c r="AD37" s="462">
        <f>AD21*Assumptions!$G$48</f>
        <v>-599.28326098286516</v>
      </c>
      <c r="AE37" s="462">
        <f>AE21*Assumptions!$G$48</f>
        <v>-619.96479101415434</v>
      </c>
      <c r="AF37" s="462">
        <f>AF21*Assumptions!$G$48</f>
        <v>-637.19224549932369</v>
      </c>
      <c r="AG37" s="462">
        <f>AG21*Assumptions!$G$48</f>
        <v>-123.77327671946614</v>
      </c>
    </row>
    <row r="38" spans="1:33" s="18" customFormat="1">
      <c r="A38" s="45" t="s">
        <v>364</v>
      </c>
      <c r="B38" s="18">
        <f t="shared" ref="B38:AG38" si="12">SUM(B36:B37)</f>
        <v>-29222.982201330975</v>
      </c>
      <c r="C38" s="18">
        <f t="shared" si="12"/>
        <v>3134.4541503099149</v>
      </c>
      <c r="D38" s="18">
        <f t="shared" si="12"/>
        <v>2202.8557406892587</v>
      </c>
      <c r="E38" s="18">
        <f t="shared" si="12"/>
        <v>2193.7799724189026</v>
      </c>
      <c r="F38" s="18">
        <f t="shared" si="12"/>
        <v>2725.4026522634103</v>
      </c>
      <c r="G38" s="18">
        <f t="shared" si="12"/>
        <v>2849.2238054950349</v>
      </c>
      <c r="H38" s="18">
        <f t="shared" si="12"/>
        <v>2735.7757674779223</v>
      </c>
      <c r="I38" s="18">
        <f t="shared" si="12"/>
        <v>2763.1763373457725</v>
      </c>
      <c r="J38" s="18">
        <f t="shared" si="12"/>
        <v>2783.4588892934316</v>
      </c>
      <c r="K38" s="18">
        <f t="shared" si="12"/>
        <v>2926.4342225691871</v>
      </c>
      <c r="L38" s="18">
        <f t="shared" si="12"/>
        <v>2900.4177828128959</v>
      </c>
      <c r="M38" s="18">
        <f t="shared" si="12"/>
        <v>3036.9582346270508</v>
      </c>
      <c r="N38" s="18">
        <f t="shared" si="12"/>
        <v>3007.3651696484267</v>
      </c>
      <c r="O38" s="18">
        <f t="shared" si="12"/>
        <v>3163.8863406939581</v>
      </c>
      <c r="P38" s="18">
        <f t="shared" si="12"/>
        <v>3130.926314808934</v>
      </c>
      <c r="Q38" s="18">
        <f t="shared" si="12"/>
        <v>2686.1176679256191</v>
      </c>
      <c r="R38" s="18">
        <f t="shared" si="12"/>
        <v>-718.01569116331393</v>
      </c>
      <c r="S38" s="18">
        <f t="shared" si="12"/>
        <v>3101.8198209950933</v>
      </c>
      <c r="T38" s="18">
        <f t="shared" si="12"/>
        <v>8438.0910387844797</v>
      </c>
      <c r="U38" s="18">
        <f t="shared" si="12"/>
        <v>8489.8348322218444</v>
      </c>
      <c r="V38" s="18">
        <f t="shared" si="12"/>
        <v>8537.0889713305405</v>
      </c>
      <c r="W38" s="18">
        <f t="shared" si="12"/>
        <v>2846.2166043659727</v>
      </c>
      <c r="X38" s="18">
        <f t="shared" si="12"/>
        <v>-1802.2385693106189</v>
      </c>
      <c r="Y38" s="18">
        <f t="shared" si="12"/>
        <v>-518.09560590931369</v>
      </c>
      <c r="Z38" s="18">
        <f t="shared" si="12"/>
        <v>-532.4554154159523</v>
      </c>
      <c r="AA38" s="18">
        <f t="shared" si="12"/>
        <v>-550.8306869798339</v>
      </c>
      <c r="AB38" s="18">
        <f t="shared" si="12"/>
        <v>-566.13705715846891</v>
      </c>
      <c r="AC38" s="18">
        <f t="shared" si="12"/>
        <v>-583.12116887322054</v>
      </c>
      <c r="AD38" s="18">
        <f t="shared" si="12"/>
        <v>-599.28326098286516</v>
      </c>
      <c r="AE38" s="18">
        <f t="shared" si="12"/>
        <v>-619.96479101415434</v>
      </c>
      <c r="AF38" s="18">
        <f t="shared" si="12"/>
        <v>-637.19224549932369</v>
      </c>
      <c r="AG38" s="18">
        <f t="shared" si="12"/>
        <v>-123.77327671946614</v>
      </c>
    </row>
    <row r="39" spans="1:33">
      <c r="B39" s="454" t="s">
        <v>1</v>
      </c>
      <c r="C39" s="460">
        <f>[1]!_xludf.xirr(B38:AG38,B8:AG8)</f>
        <v>7.6020619273185736E-2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-29222.982201330975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3134.4541503099149</v>
      </c>
      <c r="D43" s="457">
        <f>D21*Assumptions!$G$48</f>
        <v>2202.8557406892587</v>
      </c>
      <c r="E43" s="457">
        <f>E21*Assumptions!$G$48</f>
        <v>2193.7799724189026</v>
      </c>
      <c r="F43" s="457">
        <f>F21*Assumptions!$G$48</f>
        <v>2725.4026522634103</v>
      </c>
      <c r="G43" s="457">
        <f>G21*Assumptions!$G$48</f>
        <v>2849.2238054950349</v>
      </c>
      <c r="H43" s="457">
        <f>H21*Assumptions!$G$48</f>
        <v>2735.7757674779223</v>
      </c>
      <c r="I43" s="457">
        <f>I21*Assumptions!$G$48</f>
        <v>2763.1763373457725</v>
      </c>
      <c r="J43" s="457">
        <f>J21*Assumptions!$G$48</f>
        <v>2783.4588892934316</v>
      </c>
      <c r="K43" s="457">
        <f>K21*Assumptions!$G$48</f>
        <v>2926.4342225691871</v>
      </c>
      <c r="L43" s="457">
        <f>L21*Assumptions!$G$48</f>
        <v>2900.4177828128959</v>
      </c>
      <c r="M43" s="457">
        <f>M21*Assumptions!$G$48</f>
        <v>3036.9582346270508</v>
      </c>
      <c r="N43" s="457">
        <f>N21*Assumptions!$G$48</f>
        <v>3007.3651696484267</v>
      </c>
      <c r="O43" s="457">
        <f>O21*Assumptions!$G$48</f>
        <v>3163.8863406939581</v>
      </c>
      <c r="P43" s="457">
        <f>P21*Assumptions!$G$48</f>
        <v>3130.926314808934</v>
      </c>
      <c r="Q43" s="457">
        <f>Q21*Assumptions!$G$48</f>
        <v>2686.1176679256191</v>
      </c>
      <c r="R43" s="457">
        <f>R21*Assumptions!$G$48</f>
        <v>-718.01569116331393</v>
      </c>
      <c r="S43" s="457">
        <f>S21*Assumptions!$G$48</f>
        <v>3101.8198209950933</v>
      </c>
      <c r="T43" s="457">
        <f>T21*Assumptions!$G$48</f>
        <v>8438.0910387844797</v>
      </c>
      <c r="U43" s="457">
        <f>U21*Assumptions!$G$48</f>
        <v>8489.8348322218444</v>
      </c>
      <c r="V43" s="457">
        <f>V21*Assumptions!$G$48</f>
        <v>8537.0889713305405</v>
      </c>
      <c r="W43" s="457">
        <f>W21*Assumptions!$G$48</f>
        <v>2846.2166043659727</v>
      </c>
      <c r="X43" s="457">
        <f>X21*Assumptions!$G$48</f>
        <v>-1802.2385693106189</v>
      </c>
      <c r="Y43" s="457">
        <f>Y21*Assumptions!$G$48</f>
        <v>-518.09560590931369</v>
      </c>
      <c r="Z43" s="457">
        <f>Z21*Assumptions!$G$48</f>
        <v>-532.4554154159523</v>
      </c>
      <c r="AA43" s="457">
        <f>AA21*Assumptions!$G$48</f>
        <v>-550.8306869798339</v>
      </c>
      <c r="AB43" s="457">
        <f>AB21*Assumptions!$G$48</f>
        <v>-566.13705715846891</v>
      </c>
      <c r="AC43" s="457">
        <f>AC21*Assumptions!$G$48</f>
        <v>-583.12116887322054</v>
      </c>
      <c r="AD43" s="457">
        <f>AD21*Assumptions!$G$48</f>
        <v>-599.28326098286516</v>
      </c>
      <c r="AE43" s="457">
        <f>AE21*Assumptions!$G$48</f>
        <v>-619.96479101415434</v>
      </c>
      <c r="AF43" s="457">
        <f>AF21*Assumptions!$G$48</f>
        <v>-637.19224549932369</v>
      </c>
      <c r="AG43" s="457">
        <f>AG21*Assumptions!$G$48</f>
        <v>-123.77327671946614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v>0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-13479.554694373659</v>
      </c>
    </row>
    <row r="45" spans="1:33">
      <c r="A45" s="56" t="s">
        <v>364</v>
      </c>
      <c r="B45" s="18">
        <f t="shared" ref="B45:AG45" si="13">SUM(B42:B44)</f>
        <v>-29222.982201330975</v>
      </c>
      <c r="C45" s="18">
        <f t="shared" si="13"/>
        <v>3134.4541503099149</v>
      </c>
      <c r="D45" s="18">
        <f t="shared" si="13"/>
        <v>2202.8557406892587</v>
      </c>
      <c r="E45" s="18">
        <f t="shared" si="13"/>
        <v>2193.7799724189026</v>
      </c>
      <c r="F45" s="18">
        <f t="shared" si="13"/>
        <v>2725.4026522634103</v>
      </c>
      <c r="G45" s="18">
        <f t="shared" si="13"/>
        <v>2849.2238054950349</v>
      </c>
      <c r="H45" s="18">
        <f t="shared" si="13"/>
        <v>2735.7757674779223</v>
      </c>
      <c r="I45" s="18">
        <f t="shared" si="13"/>
        <v>2763.1763373457725</v>
      </c>
      <c r="J45" s="18">
        <f t="shared" si="13"/>
        <v>2783.4588892934316</v>
      </c>
      <c r="K45" s="18">
        <f t="shared" si="13"/>
        <v>2926.4342225691871</v>
      </c>
      <c r="L45" s="18">
        <f t="shared" si="13"/>
        <v>2900.4177828128959</v>
      </c>
      <c r="M45" s="18">
        <f t="shared" si="13"/>
        <v>3036.9582346270508</v>
      </c>
      <c r="N45" s="18">
        <f t="shared" si="13"/>
        <v>3007.3651696484267</v>
      </c>
      <c r="O45" s="18">
        <f t="shared" si="13"/>
        <v>3163.8863406939581</v>
      </c>
      <c r="P45" s="18">
        <f t="shared" si="13"/>
        <v>3130.926314808934</v>
      </c>
      <c r="Q45" s="18">
        <f t="shared" si="13"/>
        <v>2686.1176679256191</v>
      </c>
      <c r="R45" s="18">
        <f t="shared" si="13"/>
        <v>-718.01569116331393</v>
      </c>
      <c r="S45" s="18">
        <f t="shared" si="13"/>
        <v>3101.8198209950933</v>
      </c>
      <c r="T45" s="18">
        <f t="shared" si="13"/>
        <v>8438.0910387844797</v>
      </c>
      <c r="U45" s="18">
        <f t="shared" si="13"/>
        <v>8489.8348322218444</v>
      </c>
      <c r="V45" s="18">
        <f t="shared" si="13"/>
        <v>8537.0889713305405</v>
      </c>
      <c r="W45" s="18">
        <f t="shared" si="13"/>
        <v>2846.2166043659727</v>
      </c>
      <c r="X45" s="18">
        <f t="shared" si="13"/>
        <v>-1802.2385693106189</v>
      </c>
      <c r="Y45" s="18">
        <f t="shared" si="13"/>
        <v>-518.09560590931369</v>
      </c>
      <c r="Z45" s="18">
        <f t="shared" si="13"/>
        <v>-532.4554154159523</v>
      </c>
      <c r="AA45" s="18">
        <f t="shared" si="13"/>
        <v>-550.8306869798339</v>
      </c>
      <c r="AB45" s="18">
        <f t="shared" si="13"/>
        <v>-566.13705715846891</v>
      </c>
      <c r="AC45" s="18">
        <f t="shared" si="13"/>
        <v>-583.12116887322054</v>
      </c>
      <c r="AD45" s="18">
        <f t="shared" si="13"/>
        <v>-599.28326098286516</v>
      </c>
      <c r="AE45" s="18">
        <f t="shared" si="13"/>
        <v>-619.96479101415434</v>
      </c>
      <c r="AF45" s="18">
        <f t="shared" si="13"/>
        <v>-637.19224549932369</v>
      </c>
      <c r="AG45" s="18">
        <f t="shared" si="13"/>
        <v>-13603.327971093126</v>
      </c>
    </row>
    <row r="46" spans="1:33">
      <c r="A46" s="13"/>
      <c r="B46" s="454" t="s">
        <v>1</v>
      </c>
      <c r="C46" s="460">
        <f>[1]!_xludf.xirr(B45:AG45,B8:AG8)</f>
        <v>7.0541241765022286E-2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-29222.982201330975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3134.4541503099149</v>
      </c>
      <c r="D50" s="18">
        <f>+D21*Assumptions!$G$48</f>
        <v>2202.8557406892587</v>
      </c>
      <c r="E50" s="18">
        <f>+E21*Assumptions!$G$48</f>
        <v>2193.7799724189026</v>
      </c>
      <c r="F50" s="18">
        <f>+F21*Assumptions!$G$48</f>
        <v>2725.4026522634103</v>
      </c>
      <c r="G50" s="18">
        <f>+G21*Assumptions!$G$48</f>
        <v>2849.2238054950349</v>
      </c>
      <c r="H50" s="18">
        <f>+H21*Assumptions!$G$48</f>
        <v>2735.7757674779223</v>
      </c>
      <c r="I50" s="18">
        <f>+I21*Assumptions!$G$48</f>
        <v>2763.1763373457725</v>
      </c>
      <c r="J50" s="18">
        <f>+J21*Assumptions!$G$48</f>
        <v>2783.4588892934316</v>
      </c>
      <c r="K50" s="18">
        <f>+K21*Assumptions!$G$48</f>
        <v>2926.4342225691871</v>
      </c>
      <c r="L50" s="18">
        <f>+L21*Assumptions!$G$48</f>
        <v>2900.4177828128959</v>
      </c>
      <c r="M50" s="18">
        <f>+M21*Assumptions!$G$48</f>
        <v>3036.9582346270508</v>
      </c>
      <c r="N50" s="18">
        <f>+N21*Assumptions!$G$48</f>
        <v>3007.3651696484267</v>
      </c>
      <c r="O50" s="18">
        <f>+O21*Assumptions!$G$48</f>
        <v>3163.8863406939581</v>
      </c>
      <c r="P50" s="18">
        <f>+P21*Assumptions!$G$48</f>
        <v>3130.926314808934</v>
      </c>
      <c r="Q50" s="18">
        <f>+Q21*Assumptions!$G$48</f>
        <v>2686.1176679256191</v>
      </c>
      <c r="R50" s="18">
        <f>+R21*Assumptions!$G$48</f>
        <v>-718.01569116331393</v>
      </c>
      <c r="S50" s="18">
        <f>+S21*Assumptions!$G$48</f>
        <v>3101.8198209950933</v>
      </c>
      <c r="T50" s="18">
        <f>+T21*Assumptions!$G$48</f>
        <v>8438.0910387844797</v>
      </c>
      <c r="U50" s="18">
        <f>+U21*Assumptions!$G$48</f>
        <v>8489.8348322218444</v>
      </c>
      <c r="V50" s="18">
        <f>+V21*Assumptions!$G$48</f>
        <v>8537.0889713305405</v>
      </c>
      <c r="W50" s="18">
        <f>+W21*Assumptions!$G$48</f>
        <v>2846.2166043659727</v>
      </c>
      <c r="X50" s="18">
        <f>+X21*Assumptions!$G$48</f>
        <v>-1802.2385693106189</v>
      </c>
      <c r="Y50" s="18">
        <f>+Y21*Assumptions!$G$48</f>
        <v>-518.09560590931369</v>
      </c>
      <c r="Z50" s="18">
        <f>+Z21*Assumptions!$G$48</f>
        <v>-532.4554154159523</v>
      </c>
      <c r="AA50" s="18">
        <f>+AA21*Assumptions!$G$48</f>
        <v>-550.8306869798339</v>
      </c>
      <c r="AB50" s="18">
        <f>+AB21*Assumptions!$G$48</f>
        <v>-566.13705715846891</v>
      </c>
      <c r="AC50" s="18">
        <f>+AC21*Assumptions!$G$48</f>
        <v>-583.12116887322054</v>
      </c>
      <c r="AD50" s="18">
        <f>+AD21*Assumptions!$G$48</f>
        <v>-599.28326098286516</v>
      </c>
      <c r="AE50" s="18">
        <f>+AE21*Assumptions!$G$48</f>
        <v>-619.96479101415434</v>
      </c>
      <c r="AF50" s="18">
        <f>+AF21*Assumptions!$G$48</f>
        <v>-637.19224549932369</v>
      </c>
      <c r="AG50" s="18">
        <f>+AG21*Assumptions!$G$48</f>
        <v>-123.77327671946614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v>0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21173.732945915366</v>
      </c>
    </row>
    <row r="52" spans="1:33" s="18" customFormat="1">
      <c r="A52" s="56" t="s">
        <v>364</v>
      </c>
      <c r="B52" s="18">
        <f>SUM(B49:B51)</f>
        <v>-29222.982201330975</v>
      </c>
      <c r="C52" s="18">
        <f t="shared" ref="C52:AG52" si="14">SUM(C49:C51)</f>
        <v>3134.4541503099149</v>
      </c>
      <c r="D52" s="18">
        <f t="shared" si="14"/>
        <v>2202.8557406892587</v>
      </c>
      <c r="E52" s="18">
        <f t="shared" si="14"/>
        <v>2193.7799724189026</v>
      </c>
      <c r="F52" s="18">
        <f t="shared" si="14"/>
        <v>2725.4026522634103</v>
      </c>
      <c r="G52" s="18">
        <f t="shared" si="14"/>
        <v>2849.2238054950349</v>
      </c>
      <c r="H52" s="18">
        <f t="shared" si="14"/>
        <v>2735.7757674779223</v>
      </c>
      <c r="I52" s="18">
        <f t="shared" si="14"/>
        <v>2763.1763373457725</v>
      </c>
      <c r="J52" s="18">
        <f t="shared" si="14"/>
        <v>2783.4588892934316</v>
      </c>
      <c r="K52" s="18">
        <f t="shared" si="14"/>
        <v>2926.4342225691871</v>
      </c>
      <c r="L52" s="18">
        <f t="shared" si="14"/>
        <v>2900.4177828128959</v>
      </c>
      <c r="M52" s="18">
        <f t="shared" si="14"/>
        <v>3036.9582346270508</v>
      </c>
      <c r="N52" s="18">
        <f t="shared" si="14"/>
        <v>3007.3651696484267</v>
      </c>
      <c r="O52" s="18">
        <f t="shared" si="14"/>
        <v>3163.8863406939581</v>
      </c>
      <c r="P52" s="18">
        <f t="shared" si="14"/>
        <v>3130.926314808934</v>
      </c>
      <c r="Q52" s="18">
        <f t="shared" si="14"/>
        <v>2686.1176679256191</v>
      </c>
      <c r="R52" s="18">
        <f t="shared" si="14"/>
        <v>-718.01569116331393</v>
      </c>
      <c r="S52" s="18">
        <f t="shared" si="14"/>
        <v>3101.8198209950933</v>
      </c>
      <c r="T52" s="18">
        <f t="shared" si="14"/>
        <v>8438.0910387844797</v>
      </c>
      <c r="U52" s="18">
        <f t="shared" si="14"/>
        <v>8489.8348322218444</v>
      </c>
      <c r="V52" s="18">
        <f t="shared" si="14"/>
        <v>8537.0889713305405</v>
      </c>
      <c r="W52" s="18">
        <f t="shared" si="14"/>
        <v>2846.2166043659727</v>
      </c>
      <c r="X52" s="18">
        <f t="shared" si="14"/>
        <v>-1802.2385693106189</v>
      </c>
      <c r="Y52" s="18">
        <f t="shared" si="14"/>
        <v>-518.09560590931369</v>
      </c>
      <c r="Z52" s="18">
        <f t="shared" si="14"/>
        <v>-532.4554154159523</v>
      </c>
      <c r="AA52" s="18">
        <f t="shared" si="14"/>
        <v>-550.8306869798339</v>
      </c>
      <c r="AB52" s="18">
        <f t="shared" si="14"/>
        <v>-566.13705715846891</v>
      </c>
      <c r="AC52" s="18">
        <f t="shared" si="14"/>
        <v>-583.12116887322054</v>
      </c>
      <c r="AD52" s="18">
        <f t="shared" si="14"/>
        <v>-599.28326098286516</v>
      </c>
      <c r="AE52" s="18">
        <f t="shared" si="14"/>
        <v>-619.96479101415434</v>
      </c>
      <c r="AF52" s="18">
        <f t="shared" si="14"/>
        <v>-637.19224549932369</v>
      </c>
      <c r="AG52" s="18">
        <f t="shared" si="14"/>
        <v>21049.959669195901</v>
      </c>
    </row>
    <row r="53" spans="1:33">
      <c r="A53" s="13"/>
      <c r="B53" s="454" t="s">
        <v>1</v>
      </c>
      <c r="C53" s="460">
        <f>[1]!_xludf.xirr(B52:AG52,B8:AG8)</f>
        <v>8.2561513781547566E-2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-29222.982201330975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3134.4541503099149</v>
      </c>
      <c r="D57" s="457">
        <f>D21*Assumptions!$G$48</f>
        <v>2202.8557406892587</v>
      </c>
      <c r="E57" s="457">
        <f>E21*Assumptions!$G$48</f>
        <v>2193.7799724189026</v>
      </c>
      <c r="F57" s="457">
        <f>F21*Assumptions!$G$48</f>
        <v>2725.4026522634103</v>
      </c>
      <c r="G57" s="457">
        <f>G21*Assumptions!$G$48</f>
        <v>2849.2238054950349</v>
      </c>
      <c r="H57" s="457">
        <f>H21*Assumptions!$G$48</f>
        <v>2735.7757674779223</v>
      </c>
      <c r="I57" s="457">
        <f>I21*Assumptions!$G$48</f>
        <v>2763.1763373457725</v>
      </c>
      <c r="J57" s="457">
        <f>J21*Assumptions!$G$48</f>
        <v>2783.4588892934316</v>
      </c>
      <c r="K57" s="457">
        <f>K21*Assumptions!$G$48</f>
        <v>2926.4342225691871</v>
      </c>
      <c r="L57" s="457">
        <f>L21*Assumptions!$G$48</f>
        <v>2900.4177828128959</v>
      </c>
      <c r="M57" s="457">
        <f>M21*Assumptions!$G$48</f>
        <v>3036.9582346270508</v>
      </c>
      <c r="N57" s="457">
        <f>N21*Assumptions!$G$48</f>
        <v>3007.3651696484267</v>
      </c>
      <c r="O57" s="457">
        <f>O21*Assumptions!$G$48</f>
        <v>3163.8863406939581</v>
      </c>
      <c r="P57" s="457">
        <f>P21*Assumptions!$G$48</f>
        <v>3130.926314808934</v>
      </c>
      <c r="Q57" s="457">
        <f>Q21*Assumptions!$G$48</f>
        <v>2686.1176679256191</v>
      </c>
      <c r="R57" s="457">
        <f>R21*Assumptions!$G$48</f>
        <v>-718.01569116331393</v>
      </c>
      <c r="S57" s="457">
        <f>S21*Assumptions!$G$48</f>
        <v>3101.8198209950933</v>
      </c>
      <c r="T57" s="457">
        <f>T21*Assumptions!$G$48</f>
        <v>8438.0910387844797</v>
      </c>
      <c r="U57" s="457">
        <f>U21*Assumptions!$G$48</f>
        <v>8489.8348322218444</v>
      </c>
      <c r="V57" s="457">
        <f>V21*Assumptions!$G$48</f>
        <v>8537.0889713305405</v>
      </c>
      <c r="W57" s="457">
        <f>W21*Assumptions!$G$48</f>
        <v>2846.2166043659727</v>
      </c>
      <c r="X57" s="457">
        <f>X21*Assumptions!$G$48</f>
        <v>-1802.2385693106189</v>
      </c>
      <c r="Y57" s="457">
        <f>Y21*Assumptions!$G$48</f>
        <v>-518.09560590931369</v>
      </c>
      <c r="Z57" s="457">
        <f>Z21*Assumptions!$G$48</f>
        <v>-532.4554154159523</v>
      </c>
      <c r="AA57" s="457">
        <f>AA21*Assumptions!$G$48</f>
        <v>-550.8306869798339</v>
      </c>
      <c r="AB57" s="457">
        <f>AB21*Assumptions!$G$48</f>
        <v>-566.13705715846891</v>
      </c>
      <c r="AC57" s="457">
        <f>AC21*Assumptions!$G$48</f>
        <v>-583.12116887322054</v>
      </c>
      <c r="AD57" s="457">
        <f>AD21*Assumptions!$G$48</f>
        <v>-599.28326098286516</v>
      </c>
      <c r="AE57" s="457">
        <f>AE21*Assumptions!$G$48</f>
        <v>-619.96479101415434</v>
      </c>
      <c r="AF57" s="457">
        <f>AF21*Assumptions!$G$48</f>
        <v>-637.19224549932369</v>
      </c>
      <c r="AG57" s="457">
        <f>AG21*Assumptions!$G$48</f>
        <v>-123.77327671946614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v>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-29222.982201330975</v>
      </c>
      <c r="C59" s="18">
        <f t="shared" ref="C59:AG59" si="15">SUM(C56:C58)</f>
        <v>3134.4541503099149</v>
      </c>
      <c r="D59" s="18">
        <f t="shared" si="15"/>
        <v>2202.8557406892587</v>
      </c>
      <c r="E59" s="18">
        <f t="shared" si="15"/>
        <v>2193.7799724189026</v>
      </c>
      <c r="F59" s="18">
        <f t="shared" si="15"/>
        <v>2725.4026522634103</v>
      </c>
      <c r="G59" s="18">
        <f t="shared" si="15"/>
        <v>2849.2238054950349</v>
      </c>
      <c r="H59" s="18">
        <f t="shared" si="15"/>
        <v>2735.7757674779223</v>
      </c>
      <c r="I59" s="18">
        <f t="shared" si="15"/>
        <v>2763.1763373457725</v>
      </c>
      <c r="J59" s="18">
        <f t="shared" si="15"/>
        <v>2783.4588892934316</v>
      </c>
      <c r="K59" s="18">
        <f t="shared" si="15"/>
        <v>2926.4342225691871</v>
      </c>
      <c r="L59" s="18">
        <f t="shared" si="15"/>
        <v>2900.4177828128959</v>
      </c>
      <c r="M59" s="18">
        <f t="shared" si="15"/>
        <v>3036.9582346270508</v>
      </c>
      <c r="N59" s="18">
        <f t="shared" si="15"/>
        <v>3007.3651696484267</v>
      </c>
      <c r="O59" s="18">
        <f t="shared" si="15"/>
        <v>3163.8863406939581</v>
      </c>
      <c r="P59" s="18">
        <f t="shared" si="15"/>
        <v>3130.926314808934</v>
      </c>
      <c r="Q59" s="18">
        <f t="shared" si="15"/>
        <v>2686.1176679256191</v>
      </c>
      <c r="R59" s="18">
        <f t="shared" si="15"/>
        <v>-718.01569116331393</v>
      </c>
      <c r="S59" s="18">
        <f t="shared" si="15"/>
        <v>3101.8198209950933</v>
      </c>
      <c r="T59" s="18">
        <f t="shared" si="15"/>
        <v>8438.0910387844797</v>
      </c>
      <c r="U59" s="18">
        <f t="shared" si="15"/>
        <v>8489.8348322218444</v>
      </c>
      <c r="V59" s="18">
        <f t="shared" si="15"/>
        <v>8537.0889713305405</v>
      </c>
      <c r="W59" s="18">
        <f t="shared" si="15"/>
        <v>2846.2166043659727</v>
      </c>
      <c r="X59" s="18">
        <f t="shared" si="15"/>
        <v>-1802.2385693106189</v>
      </c>
      <c r="Y59" s="18">
        <f t="shared" si="15"/>
        <v>-518.09560590931369</v>
      </c>
      <c r="Z59" s="18">
        <f t="shared" si="15"/>
        <v>-532.4554154159523</v>
      </c>
      <c r="AA59" s="18">
        <f t="shared" si="15"/>
        <v>-550.8306869798339</v>
      </c>
      <c r="AB59" s="18">
        <f t="shared" si="15"/>
        <v>-566.13705715846891</v>
      </c>
      <c r="AC59" s="18">
        <f t="shared" si="15"/>
        <v>-583.12116887322054</v>
      </c>
      <c r="AD59" s="18">
        <f t="shared" si="15"/>
        <v>-599.28326098286516</v>
      </c>
      <c r="AE59" s="18">
        <f t="shared" si="15"/>
        <v>-619.96479101415434</v>
      </c>
      <c r="AF59" s="18">
        <f t="shared" si="15"/>
        <v>-637.19224549932369</v>
      </c>
      <c r="AG59" s="18">
        <f t="shared" si="15"/>
        <v>37876.226723280532</v>
      </c>
    </row>
    <row r="60" spans="1:33">
      <c r="A60" s="13"/>
      <c r="B60" s="454" t="s">
        <v>1</v>
      </c>
      <c r="C60" s="460">
        <f>[1]!_xludf.xirr(B59:AG59,B8:AG8)</f>
        <v>8.6701235175132757E-2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2000-02-17T16:07:09Z</cp:lastPrinted>
  <dcterms:created xsi:type="dcterms:W3CDTF">1999-04-02T01:38:38Z</dcterms:created>
  <dcterms:modified xsi:type="dcterms:W3CDTF">2023-09-13T22:02:54Z</dcterms:modified>
</cp:coreProperties>
</file>