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184644-C3D7-4FA5-86F9-492C0C0E9D51}" xr6:coauthVersionLast="47" xr6:coauthVersionMax="47" xr10:uidLastSave="{00000000-0000-0000-0000-000000000000}"/>
  <bookViews>
    <workbookView xWindow="-120" yWindow="-120" windowWidth="38640" windowHeight="15720" activeTab="3"/>
  </bookViews>
  <sheets>
    <sheet name="Deal Summary 12-99" sheetId="1" r:id="rId1"/>
    <sheet name="UAE Price Reuest" sheetId="2" r:id="rId2"/>
    <sheet name="BidAskPricing" sheetId="5" r:id="rId3"/>
    <sheet name="Deal Summary 3-00" sheetId="7" r:id="rId4"/>
    <sheet name="Sheet1" sheetId="6" r:id="rId5"/>
    <sheet name="Sheet3" sheetId="3" r:id="rId6"/>
  </sheets>
  <calcPr calcId="0"/>
</workbook>
</file>

<file path=xl/calcChain.xml><?xml version="1.0" encoding="utf-8"?>
<calcChain xmlns="http://schemas.openxmlformats.org/spreadsheetml/2006/main">
  <c r="E5" i="5" l="1"/>
  <c r="E6" i="5"/>
  <c r="H6" i="5"/>
  <c r="H7" i="5"/>
  <c r="C8" i="5"/>
  <c r="D8" i="5"/>
  <c r="C12" i="5"/>
  <c r="D12" i="5"/>
  <c r="G12" i="5"/>
  <c r="C13" i="5"/>
  <c r="D13" i="5"/>
  <c r="C14" i="5"/>
  <c r="D14" i="5"/>
  <c r="C15" i="5"/>
  <c r="C16" i="5"/>
  <c r="C17" i="5"/>
  <c r="C24" i="5"/>
  <c r="C26" i="5"/>
  <c r="C27" i="5"/>
  <c r="H2" i="1"/>
  <c r="B14" i="1"/>
  <c r="F23" i="1"/>
  <c r="F24" i="1"/>
  <c r="H2" i="7"/>
  <c r="B15" i="7"/>
  <c r="F24" i="7"/>
  <c r="F25" i="7"/>
  <c r="C5" i="3"/>
  <c r="I5" i="3"/>
  <c r="I6" i="3"/>
  <c r="C7" i="3"/>
  <c r="C11" i="3"/>
  <c r="F11" i="3"/>
  <c r="F12" i="3"/>
  <c r="C13" i="3"/>
  <c r="C14" i="3"/>
  <c r="B6" i="2"/>
  <c r="C6" i="2"/>
  <c r="D6" i="2"/>
  <c r="B7" i="2"/>
  <c r="C7" i="2"/>
  <c r="D10" i="2"/>
</calcChain>
</file>

<file path=xl/sharedStrings.xml><?xml version="1.0" encoding="utf-8"?>
<sst xmlns="http://schemas.openxmlformats.org/spreadsheetml/2006/main" count="141" uniqueCount="86">
  <si>
    <t>Term:</t>
  </si>
  <si>
    <t>24 months</t>
  </si>
  <si>
    <t>Jan 1 2000 - Dec 31 2001</t>
  </si>
  <si>
    <t>Location:</t>
  </si>
  <si>
    <t>Capacity Pmt</t>
  </si>
  <si>
    <t>per month</t>
  </si>
  <si>
    <t>per kw/mo</t>
  </si>
  <si>
    <t>Heat Rate:</t>
  </si>
  <si>
    <t>@ 20F</t>
  </si>
  <si>
    <t>@ 90F</t>
  </si>
  <si>
    <t>Energy Charge</t>
  </si>
  <si>
    <t>per MWh</t>
  </si>
  <si>
    <t>LDC Fee</t>
  </si>
  <si>
    <t>(included in energy charge)</t>
  </si>
  <si>
    <t>Start Charge:</t>
  </si>
  <si>
    <t>per start</t>
  </si>
  <si>
    <t>"Uplift Sharing"</t>
  </si>
  <si>
    <t>50/50</t>
  </si>
  <si>
    <t>all uplift payments shared between the two</t>
  </si>
  <si>
    <t>parties.  Uplift = payments from ISO in excess</t>
  </si>
  <si>
    <t>of the pool clearing price received by plant due</t>
  </si>
  <si>
    <t>to advantageous location on NEPOOL grid.  This</t>
  </si>
  <si>
    <t>will include FCR's upon implementation of such a</t>
  </si>
  <si>
    <t>plan within NEPOOL.</t>
  </si>
  <si>
    <t>Gas Delivery Point:</t>
  </si>
  <si>
    <t>TGPL and Colonial, at the TGPL Tewksbury Gate Station</t>
  </si>
  <si>
    <t>Full Load</t>
  </si>
  <si>
    <t>Min Load (50MW)</t>
  </si>
  <si>
    <t>Level of Service</t>
  </si>
  <si>
    <t>Lowell Power Tolling Transaction</t>
  </si>
  <si>
    <t>Lowell, MA (NEPOOL PTF)</t>
  </si>
  <si>
    <t>Products:</t>
  </si>
  <si>
    <t>Energy, Op Cap, I Cap, Ancil Svcs (as available)</t>
  </si>
  <si>
    <t>Firm LD during 5X16, Jun-Sep and Dec-Feb</t>
  </si>
  <si>
    <t>Capacity (MW) :</t>
  </si>
  <si>
    <t xml:space="preserve">Summer </t>
  </si>
  <si>
    <t>Non-Summer</t>
  </si>
  <si>
    <t>Sheduled Outage:</t>
  </si>
  <si>
    <t>Period</t>
  </si>
  <si>
    <t>Allowed Hours</t>
  </si>
  <si>
    <t>Mar - May '00</t>
  </si>
  <si>
    <t>Oct - Nov '00</t>
  </si>
  <si>
    <t>Mar - May '01</t>
  </si>
  <si>
    <t>Oct - Nov '01</t>
  </si>
  <si>
    <t>Will use resonable efforts to provide 14 days notice on scheduled outage</t>
  </si>
  <si>
    <t>Min notice of 24 hours</t>
  </si>
  <si>
    <t>/MWh for 1 day</t>
  </si>
  <si>
    <t>/MWh for 1 wk</t>
  </si>
  <si>
    <t>Start Cost =</t>
  </si>
  <si>
    <t>+</t>
  </si>
  <si>
    <t>Months</t>
  </si>
  <si>
    <t>$/Month</t>
  </si>
  <si>
    <t>Total</t>
  </si>
  <si>
    <t>Offer</t>
  </si>
  <si>
    <t>Desk</t>
  </si>
  <si>
    <t>Margin</t>
  </si>
  <si>
    <t>mw</t>
  </si>
  <si>
    <t>hr</t>
  </si>
  <si>
    <t>mwhrs</t>
  </si>
  <si>
    <t>start</t>
  </si>
  <si>
    <t>per mwh</t>
  </si>
  <si>
    <t>Bid</t>
  </si>
  <si>
    <t>Mid</t>
  </si>
  <si>
    <t>Intrinsic</t>
  </si>
  <si>
    <t>Starts per yr</t>
  </si>
  <si>
    <t>Extrinsic</t>
  </si>
  <si>
    <t>Cost/Yr</t>
  </si>
  <si>
    <t>I Cap</t>
  </si>
  <si>
    <t>$/kw/mo Cost</t>
  </si>
  <si>
    <t>Proposed Pricing</t>
  </si>
  <si>
    <t>Start Costs</t>
  </si>
  <si>
    <t>TOTAL</t>
  </si>
  <si>
    <t>Start Charge</t>
  </si>
  <si>
    <t>onpeak hrs</t>
  </si>
  <si>
    <t>days</t>
  </si>
  <si>
    <t>hours/wk onpk</t>
  </si>
  <si>
    <t>mw/h</t>
  </si>
  <si>
    <t>mwh/week</t>
  </si>
  <si>
    <t>allocated start cost</t>
  </si>
  <si>
    <t>B</t>
  </si>
  <si>
    <t>Total $ per month</t>
  </si>
  <si>
    <t>b</t>
  </si>
  <si>
    <t>12 months</t>
  </si>
  <si>
    <t>Jan 1 2001 - Dec 31 2002</t>
  </si>
  <si>
    <t>Delivery of gas: Tenn Z6 @ Tewskbury City Gate /Colonial Gas</t>
  </si>
  <si>
    <t>LDC Gas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</si>
</sst>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#,##0.0_);[Red]\(#,##0.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quotePrefix="1"/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8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6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8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8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20</xdr:row>
      <xdr:rowOff>28575</xdr:rowOff>
    </xdr:from>
    <xdr:to>
      <xdr:col>7</xdr:col>
      <xdr:colOff>257175</xdr:colOff>
      <xdr:row>25</xdr:row>
      <xdr:rowOff>28575</xdr:rowOff>
    </xdr:to>
    <xdr:sp macro="" textlink="">
      <xdr:nvSpPr>
        <xdr:cNvPr id="1025" name="Oval 1">
          <a:extLst>
            <a:ext uri="{FF2B5EF4-FFF2-40B4-BE49-F238E27FC236}">
              <a16:creationId xmlns:a16="http://schemas.microsoft.com/office/drawing/2014/main" id="{C6E2999D-ACC3-9B72-2382-143D0BE44BB7}"/>
            </a:ext>
          </a:extLst>
        </xdr:cNvPr>
        <xdr:cNvSpPr>
          <a:spLocks noChangeArrowheads="1"/>
        </xdr:cNvSpPr>
      </xdr:nvSpPr>
      <xdr:spPr bwMode="auto">
        <a:xfrm>
          <a:off x="4552950" y="3305175"/>
          <a:ext cx="2162175" cy="809625"/>
        </a:xfrm>
        <a:prstGeom prst="ellips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47625</xdr:colOff>
      <xdr:row>24</xdr:row>
      <xdr:rowOff>95250</xdr:rowOff>
    </xdr:from>
    <xdr:to>
      <xdr:col>2</xdr:col>
      <xdr:colOff>685800</xdr:colOff>
      <xdr:row>26</xdr:row>
      <xdr:rowOff>104775</xdr:rowOff>
    </xdr:to>
    <xdr:sp macro="" textlink="">
      <xdr:nvSpPr>
        <xdr:cNvPr id="1026" name="Oval 2">
          <a:extLst>
            <a:ext uri="{FF2B5EF4-FFF2-40B4-BE49-F238E27FC236}">
              <a16:creationId xmlns:a16="http://schemas.microsoft.com/office/drawing/2014/main" id="{3F8387B9-6165-9CD8-957A-C8F6FA2C283C}"/>
            </a:ext>
          </a:extLst>
        </xdr:cNvPr>
        <xdr:cNvSpPr>
          <a:spLocks noChangeArrowheads="1"/>
        </xdr:cNvSpPr>
      </xdr:nvSpPr>
      <xdr:spPr bwMode="auto">
        <a:xfrm>
          <a:off x="1419225" y="4019550"/>
          <a:ext cx="1524000" cy="333375"/>
        </a:xfrm>
        <a:prstGeom prst="ellips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685800</xdr:colOff>
      <xdr:row>23</xdr:row>
      <xdr:rowOff>38100</xdr:rowOff>
    </xdr:from>
    <xdr:to>
      <xdr:col>4</xdr:col>
      <xdr:colOff>257175</xdr:colOff>
      <xdr:row>25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79E8EBD1-A5E0-CE7F-3FE6-458F977B6BBE}"/>
            </a:ext>
          </a:extLst>
        </xdr:cNvPr>
        <xdr:cNvSpPr>
          <a:spLocks noChangeShapeType="1"/>
        </xdr:cNvSpPr>
      </xdr:nvSpPr>
      <xdr:spPr bwMode="auto">
        <a:xfrm flipV="1">
          <a:off x="2943225" y="3800475"/>
          <a:ext cx="160972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21</xdr:row>
      <xdr:rowOff>28575</xdr:rowOff>
    </xdr:from>
    <xdr:to>
      <xdr:col>7</xdr:col>
      <xdr:colOff>257175</xdr:colOff>
      <xdr:row>26</xdr:row>
      <xdr:rowOff>28575</xdr:rowOff>
    </xdr:to>
    <xdr:sp macro="" textlink="">
      <xdr:nvSpPr>
        <xdr:cNvPr id="3073" name="Oval 1">
          <a:extLst>
            <a:ext uri="{FF2B5EF4-FFF2-40B4-BE49-F238E27FC236}">
              <a16:creationId xmlns:a16="http://schemas.microsoft.com/office/drawing/2014/main" id="{8EFE9699-AB5E-E4CB-5AB7-B7D6BA24611A}"/>
            </a:ext>
          </a:extLst>
        </xdr:cNvPr>
        <xdr:cNvSpPr>
          <a:spLocks noChangeArrowheads="1"/>
        </xdr:cNvSpPr>
      </xdr:nvSpPr>
      <xdr:spPr bwMode="auto">
        <a:xfrm>
          <a:off x="4552950" y="3467100"/>
          <a:ext cx="2162175" cy="809625"/>
        </a:xfrm>
        <a:prstGeom prst="ellips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47625</xdr:colOff>
      <xdr:row>25</xdr:row>
      <xdr:rowOff>95250</xdr:rowOff>
    </xdr:from>
    <xdr:to>
      <xdr:col>2</xdr:col>
      <xdr:colOff>685800</xdr:colOff>
      <xdr:row>27</xdr:row>
      <xdr:rowOff>104775</xdr:rowOff>
    </xdr:to>
    <xdr:sp macro="" textlink="">
      <xdr:nvSpPr>
        <xdr:cNvPr id="3074" name="Oval 2">
          <a:extLst>
            <a:ext uri="{FF2B5EF4-FFF2-40B4-BE49-F238E27FC236}">
              <a16:creationId xmlns:a16="http://schemas.microsoft.com/office/drawing/2014/main" id="{D0821A03-B58D-01FD-38B6-E8232BF91FCF}"/>
            </a:ext>
          </a:extLst>
        </xdr:cNvPr>
        <xdr:cNvSpPr>
          <a:spLocks noChangeArrowheads="1"/>
        </xdr:cNvSpPr>
      </xdr:nvSpPr>
      <xdr:spPr bwMode="auto">
        <a:xfrm>
          <a:off x="1419225" y="4181475"/>
          <a:ext cx="1524000" cy="333375"/>
        </a:xfrm>
        <a:prstGeom prst="ellips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685800</xdr:colOff>
      <xdr:row>24</xdr:row>
      <xdr:rowOff>38100</xdr:rowOff>
    </xdr:from>
    <xdr:to>
      <xdr:col>4</xdr:col>
      <xdr:colOff>257175</xdr:colOff>
      <xdr:row>26</xdr:row>
      <xdr:rowOff>95250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2474A879-FFFD-64EF-8648-2A30D54D8EC7}"/>
            </a:ext>
          </a:extLst>
        </xdr:cNvPr>
        <xdr:cNvSpPr>
          <a:spLocks noChangeShapeType="1"/>
        </xdr:cNvSpPr>
      </xdr:nvSpPr>
      <xdr:spPr bwMode="auto">
        <a:xfrm flipV="1">
          <a:off x="2943225" y="3962400"/>
          <a:ext cx="160972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6"/>
  <sheetViews>
    <sheetView workbookViewId="0">
      <selection activeCell="D14" sqref="D14"/>
    </sheetView>
  </sheetViews>
  <sheetFormatPr defaultRowHeight="12.75" x14ac:dyDescent="0.2"/>
  <cols>
    <col min="1" max="1" width="20.5703125" customWidth="1"/>
    <col min="2" max="2" width="13.28515625" bestFit="1" customWidth="1"/>
    <col min="3" max="3" width="14.42578125" customWidth="1"/>
    <col min="4" max="4" width="16.140625" customWidth="1"/>
    <col min="6" max="6" width="10.7109375" bestFit="1" customWidth="1"/>
    <col min="7" max="7" width="12.5703125" customWidth="1"/>
    <col min="8" max="8" width="11.7109375" customWidth="1"/>
  </cols>
  <sheetData>
    <row r="2" spans="1:8" ht="15.75" x14ac:dyDescent="0.25">
      <c r="A2" s="11" t="s">
        <v>29</v>
      </c>
      <c r="H2" s="12">
        <f ca="1">TODAY()</f>
        <v>36592</v>
      </c>
    </row>
    <row r="5" spans="1:8" x14ac:dyDescent="0.2">
      <c r="A5" s="8" t="s">
        <v>0</v>
      </c>
      <c r="B5" t="s">
        <v>1</v>
      </c>
    </row>
    <row r="6" spans="1:8" x14ac:dyDescent="0.2">
      <c r="A6" s="8"/>
      <c r="B6" t="s">
        <v>2</v>
      </c>
    </row>
    <row r="7" spans="1:8" x14ac:dyDescent="0.2">
      <c r="A7" s="8"/>
    </row>
    <row r="8" spans="1:8" x14ac:dyDescent="0.2">
      <c r="A8" s="8" t="s">
        <v>3</v>
      </c>
      <c r="B8" t="s">
        <v>30</v>
      </c>
    </row>
    <row r="9" spans="1:8" x14ac:dyDescent="0.2">
      <c r="A9" s="8"/>
    </row>
    <row r="10" spans="1:8" x14ac:dyDescent="0.2">
      <c r="B10" s="7" t="s">
        <v>35</v>
      </c>
      <c r="C10" s="7" t="s">
        <v>36</v>
      </c>
    </row>
    <row r="11" spans="1:8" x14ac:dyDescent="0.2">
      <c r="A11" s="8" t="s">
        <v>34</v>
      </c>
      <c r="B11" s="10">
        <v>73.5</v>
      </c>
      <c r="C11" s="10">
        <v>87.5</v>
      </c>
      <c r="D11" s="10"/>
      <c r="F11" s="1"/>
      <c r="G11" s="1"/>
      <c r="H11" s="1"/>
    </row>
    <row r="12" spans="1:8" x14ac:dyDescent="0.2">
      <c r="A12" s="8"/>
      <c r="F12" s="2"/>
      <c r="G12" s="2"/>
      <c r="H12" s="2"/>
    </row>
    <row r="13" spans="1:8" x14ac:dyDescent="0.2">
      <c r="A13" s="8" t="s">
        <v>4</v>
      </c>
      <c r="B13" s="1">
        <v>420000</v>
      </c>
      <c r="C13" t="s">
        <v>5</v>
      </c>
      <c r="F13" s="1"/>
      <c r="G13" s="1"/>
      <c r="H13" s="1"/>
    </row>
    <row r="14" spans="1:8" x14ac:dyDescent="0.2">
      <c r="A14" s="8"/>
      <c r="B14" s="2">
        <f>+B13/73.5/1000</f>
        <v>5.7142857142857144</v>
      </c>
      <c r="C14" t="s">
        <v>6</v>
      </c>
      <c r="F14" s="1"/>
    </row>
    <row r="15" spans="1:8" x14ac:dyDescent="0.2">
      <c r="A15" s="8"/>
      <c r="B15" s="2"/>
      <c r="F15" s="1"/>
    </row>
    <row r="16" spans="1:8" x14ac:dyDescent="0.2">
      <c r="A16" s="8" t="s">
        <v>31</v>
      </c>
      <c r="B16" s="9" t="s">
        <v>32</v>
      </c>
      <c r="F16" s="1"/>
    </row>
    <row r="17" spans="1:7" x14ac:dyDescent="0.2">
      <c r="A17" s="8"/>
      <c r="B17" s="2"/>
      <c r="F17" s="1"/>
    </row>
    <row r="18" spans="1:7" x14ac:dyDescent="0.2">
      <c r="A18" s="8"/>
      <c r="B18" s="7" t="s">
        <v>26</v>
      </c>
      <c r="D18" s="7" t="s">
        <v>27</v>
      </c>
      <c r="F18" s="1"/>
    </row>
    <row r="19" spans="1:7" x14ac:dyDescent="0.2">
      <c r="A19" s="8" t="s">
        <v>7</v>
      </c>
      <c r="B19" s="4">
        <v>8250</v>
      </c>
      <c r="C19" s="6" t="s">
        <v>8</v>
      </c>
      <c r="D19" s="4">
        <v>9100</v>
      </c>
      <c r="F19" s="1"/>
    </row>
    <row r="20" spans="1:7" x14ac:dyDescent="0.2">
      <c r="A20" s="8"/>
      <c r="B20" s="4">
        <v>8500</v>
      </c>
      <c r="C20" s="6" t="s">
        <v>9</v>
      </c>
      <c r="D20" s="4">
        <v>9350</v>
      </c>
    </row>
    <row r="21" spans="1:7" x14ac:dyDescent="0.2">
      <c r="A21" s="8"/>
    </row>
    <row r="22" spans="1:7" x14ac:dyDescent="0.2">
      <c r="A22" s="8" t="s">
        <v>10</v>
      </c>
      <c r="B22" s="2">
        <v>3.5</v>
      </c>
      <c r="C22" t="s">
        <v>11</v>
      </c>
      <c r="F22" s="13">
        <v>28000</v>
      </c>
      <c r="G22" s="14" t="s">
        <v>48</v>
      </c>
    </row>
    <row r="23" spans="1:7" x14ac:dyDescent="0.2">
      <c r="A23" s="8"/>
      <c r="E23" s="15" t="s">
        <v>49</v>
      </c>
      <c r="F23" s="2">
        <f>+F22/(73.5*16)</f>
        <v>23.80952380952381</v>
      </c>
      <c r="G23" t="s">
        <v>46</v>
      </c>
    </row>
    <row r="24" spans="1:7" x14ac:dyDescent="0.2">
      <c r="A24" s="8" t="s">
        <v>12</v>
      </c>
      <c r="B24" s="2">
        <v>0</v>
      </c>
      <c r="C24" s="3" t="s">
        <v>13</v>
      </c>
      <c r="E24" s="15" t="s">
        <v>49</v>
      </c>
      <c r="F24" s="2">
        <f>+F22/(73.5*16*5)</f>
        <v>4.7619047619047619</v>
      </c>
      <c r="G24" t="s">
        <v>47</v>
      </c>
    </row>
    <row r="25" spans="1:7" x14ac:dyDescent="0.2">
      <c r="A25" s="8"/>
    </row>
    <row r="26" spans="1:7" x14ac:dyDescent="0.2">
      <c r="A26" s="8" t="s">
        <v>14</v>
      </c>
      <c r="B26" s="1">
        <v>28000</v>
      </c>
      <c r="C26" t="s">
        <v>15</v>
      </c>
    </row>
    <row r="27" spans="1:7" x14ac:dyDescent="0.2">
      <c r="A27" s="8"/>
    </row>
    <row r="28" spans="1:7" x14ac:dyDescent="0.2">
      <c r="A28" s="8" t="s">
        <v>16</v>
      </c>
      <c r="B28" s="5" t="s">
        <v>17</v>
      </c>
      <c r="C28" t="s">
        <v>18</v>
      </c>
    </row>
    <row r="29" spans="1:7" x14ac:dyDescent="0.2">
      <c r="A29" s="8"/>
      <c r="C29" t="s">
        <v>19</v>
      </c>
    </row>
    <row r="30" spans="1:7" x14ac:dyDescent="0.2">
      <c r="A30" s="8"/>
      <c r="C30" t="s">
        <v>20</v>
      </c>
    </row>
    <row r="31" spans="1:7" x14ac:dyDescent="0.2">
      <c r="A31" s="8"/>
      <c r="C31" t="s">
        <v>21</v>
      </c>
    </row>
    <row r="32" spans="1:7" x14ac:dyDescent="0.2">
      <c r="A32" s="8"/>
      <c r="C32" t="s">
        <v>22</v>
      </c>
    </row>
    <row r="33" spans="1:3" x14ac:dyDescent="0.2">
      <c r="A33" s="8"/>
      <c r="C33" t="s">
        <v>23</v>
      </c>
    </row>
    <row r="34" spans="1:3" x14ac:dyDescent="0.2">
      <c r="A34" s="8"/>
    </row>
    <row r="35" spans="1:3" x14ac:dyDescent="0.2">
      <c r="A35" s="8" t="s">
        <v>24</v>
      </c>
      <c r="B35" t="s">
        <v>25</v>
      </c>
    </row>
    <row r="36" spans="1:3" x14ac:dyDescent="0.2">
      <c r="A36" s="8"/>
    </row>
    <row r="37" spans="1:3" x14ac:dyDescent="0.2">
      <c r="A37" s="8" t="s">
        <v>28</v>
      </c>
      <c r="B37" t="s">
        <v>33</v>
      </c>
    </row>
    <row r="38" spans="1:3" x14ac:dyDescent="0.2">
      <c r="A38" s="8"/>
    </row>
    <row r="39" spans="1:3" x14ac:dyDescent="0.2">
      <c r="A39" s="8" t="s">
        <v>37</v>
      </c>
      <c r="B39" s="7" t="s">
        <v>38</v>
      </c>
      <c r="C39" s="7" t="s">
        <v>39</v>
      </c>
    </row>
    <row r="40" spans="1:3" x14ac:dyDescent="0.2">
      <c r="A40" s="8"/>
      <c r="B40" s="5" t="s">
        <v>40</v>
      </c>
      <c r="C40" s="5">
        <v>500</v>
      </c>
    </row>
    <row r="41" spans="1:3" x14ac:dyDescent="0.2">
      <c r="A41" s="8"/>
      <c r="B41" s="5" t="s">
        <v>41</v>
      </c>
      <c r="C41" s="5">
        <v>150</v>
      </c>
    </row>
    <row r="42" spans="1:3" x14ac:dyDescent="0.2">
      <c r="B42" s="5" t="s">
        <v>42</v>
      </c>
      <c r="C42" s="5">
        <v>200</v>
      </c>
    </row>
    <row r="43" spans="1:3" x14ac:dyDescent="0.2">
      <c r="B43" s="5" t="s">
        <v>43</v>
      </c>
      <c r="C43" s="5">
        <v>170</v>
      </c>
    </row>
    <row r="45" spans="1:3" x14ac:dyDescent="0.2">
      <c r="B45" t="s">
        <v>44</v>
      </c>
    </row>
    <row r="46" spans="1:3" x14ac:dyDescent="0.2">
      <c r="B46" t="s">
        <v>45</v>
      </c>
    </row>
  </sheetData>
  <pageMargins left="0.75" right="0.75" top="1" bottom="1" header="0.5" footer="0.5"/>
  <pageSetup scale="83"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B4" sqref="B4"/>
    </sheetView>
  </sheetViews>
  <sheetFormatPr defaultRowHeight="12.75" x14ac:dyDescent="0.2"/>
  <cols>
    <col min="2" max="2" width="10.7109375" bestFit="1" customWidth="1"/>
    <col min="3" max="3" width="11.7109375" bestFit="1" customWidth="1"/>
  </cols>
  <sheetData>
    <row r="3" spans="1:4" x14ac:dyDescent="0.2">
      <c r="B3" s="21" t="s">
        <v>53</v>
      </c>
      <c r="C3" s="21" t="s">
        <v>54</v>
      </c>
      <c r="D3" s="21" t="s">
        <v>55</v>
      </c>
    </row>
    <row r="4" spans="1:4" x14ac:dyDescent="0.2">
      <c r="A4" s="3" t="s">
        <v>51</v>
      </c>
      <c r="B4" s="1">
        <v>390000</v>
      </c>
      <c r="C4" s="1">
        <v>420000</v>
      </c>
    </row>
    <row r="5" spans="1:4" x14ac:dyDescent="0.2">
      <c r="A5" t="s">
        <v>50</v>
      </c>
      <c r="B5" s="4">
        <v>24</v>
      </c>
      <c r="C5" s="4">
        <v>24</v>
      </c>
    </row>
    <row r="6" spans="1:4" x14ac:dyDescent="0.2">
      <c r="A6" t="s">
        <v>52</v>
      </c>
      <c r="B6" s="1">
        <f>+B5*B4</f>
        <v>9360000</v>
      </c>
      <c r="C6" s="1">
        <f>+C5*C4</f>
        <v>10080000</v>
      </c>
      <c r="D6" s="1">
        <f>+C6-B6</f>
        <v>720000</v>
      </c>
    </row>
    <row r="7" spans="1:4" x14ac:dyDescent="0.2">
      <c r="B7" s="2">
        <f>+B4/(73.5*1000)</f>
        <v>5.3061224489795915</v>
      </c>
      <c r="C7" s="2">
        <f>+C4/(73.5*1000)</f>
        <v>5.7142857142857144</v>
      </c>
    </row>
    <row r="10" spans="1:4" x14ac:dyDescent="0.2">
      <c r="C10" s="1">
        <v>50000</v>
      </c>
      <c r="D10">
        <f>+C10/12</f>
        <v>4166.666666666667</v>
      </c>
    </row>
    <row r="11" spans="1:4" x14ac:dyDescent="0.2">
      <c r="C11" s="4">
        <v>1000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D7" sqref="D7"/>
    </sheetView>
  </sheetViews>
  <sheetFormatPr defaultRowHeight="12.75" x14ac:dyDescent="0.2"/>
  <cols>
    <col min="1" max="1" width="17.5703125" customWidth="1"/>
    <col min="2" max="2" width="3.5703125" customWidth="1"/>
  </cols>
  <sheetData>
    <row r="3" spans="1:8" x14ac:dyDescent="0.2">
      <c r="C3" s="16" t="s">
        <v>61</v>
      </c>
      <c r="D3" s="16" t="s">
        <v>62</v>
      </c>
    </row>
    <row r="5" spans="1:8" x14ac:dyDescent="0.2">
      <c r="A5" s="8" t="s">
        <v>63</v>
      </c>
      <c r="C5" s="2">
        <v>3.43</v>
      </c>
      <c r="D5" s="2">
        <v>4.13</v>
      </c>
      <c r="E5" s="20">
        <f>+D5-C5</f>
        <v>0.69999999999999973</v>
      </c>
      <c r="F5" t="s">
        <v>64</v>
      </c>
      <c r="H5" s="5">
        <v>4</v>
      </c>
    </row>
    <row r="6" spans="1:8" x14ac:dyDescent="0.2">
      <c r="A6" s="8" t="s">
        <v>65</v>
      </c>
      <c r="C6" s="2">
        <v>0.61</v>
      </c>
      <c r="D6" s="2">
        <v>0.95</v>
      </c>
      <c r="E6" s="20">
        <f>+D6-C6</f>
        <v>0.33999999999999997</v>
      </c>
      <c r="F6" t="s">
        <v>66</v>
      </c>
      <c r="H6" s="1">
        <f>+H5*28000</f>
        <v>112000</v>
      </c>
    </row>
    <row r="7" spans="1:8" x14ac:dyDescent="0.2">
      <c r="A7" s="8" t="s">
        <v>67</v>
      </c>
      <c r="C7" s="17">
        <v>1.05</v>
      </c>
      <c r="D7" s="17">
        <v>1.3</v>
      </c>
      <c r="F7" t="s">
        <v>68</v>
      </c>
      <c r="H7" s="2">
        <f>-H6/(73.5*1000*12)</f>
        <v>-0.12698412698412698</v>
      </c>
    </row>
    <row r="8" spans="1:8" x14ac:dyDescent="0.2">
      <c r="A8" s="8"/>
      <c r="C8" s="2">
        <f>SUM(C5:C7)</f>
        <v>5.09</v>
      </c>
      <c r="D8" s="2">
        <f>SUM(D5:D7)</f>
        <v>6.38</v>
      </c>
    </row>
    <row r="10" spans="1:8" x14ac:dyDescent="0.2">
      <c r="G10">
        <v>0.55000000000000004</v>
      </c>
    </row>
    <row r="11" spans="1:8" x14ac:dyDescent="0.2">
      <c r="A11" s="18" t="s">
        <v>69</v>
      </c>
      <c r="C11" s="19" t="s">
        <v>61</v>
      </c>
      <c r="D11" s="19" t="s">
        <v>62</v>
      </c>
      <c r="G11">
        <v>73500</v>
      </c>
    </row>
    <row r="12" spans="1:8" x14ac:dyDescent="0.2">
      <c r="A12" t="s">
        <v>63</v>
      </c>
      <c r="B12" s="5" t="s">
        <v>79</v>
      </c>
      <c r="C12" s="5">
        <f>IF(+B12="B",+C5,"")</f>
        <v>3.43</v>
      </c>
      <c r="D12" s="2" t="str">
        <f>IF(+B12="M",+D5,"")</f>
        <v/>
      </c>
      <c r="G12">
        <f>+G11*G10*24</f>
        <v>970200</v>
      </c>
    </row>
    <row r="13" spans="1:8" x14ac:dyDescent="0.2">
      <c r="A13" t="s">
        <v>65</v>
      </c>
      <c r="B13" s="5" t="s">
        <v>79</v>
      </c>
      <c r="C13" s="5">
        <f>IF(+B13="B",+C6,"")</f>
        <v>0.61</v>
      </c>
      <c r="D13" s="2" t="str">
        <f>IF(+B13="M",+D6,"")</f>
        <v/>
      </c>
      <c r="G13" s="1"/>
    </row>
    <row r="14" spans="1:8" x14ac:dyDescent="0.2">
      <c r="A14" t="s">
        <v>67</v>
      </c>
      <c r="B14" s="5" t="s">
        <v>81</v>
      </c>
      <c r="C14" s="5">
        <f>IF(+B14="B",+C7,"")</f>
        <v>1.05</v>
      </c>
      <c r="D14" s="2" t="str">
        <f>IF(+B14="M",+D7,"")</f>
        <v/>
      </c>
    </row>
    <row r="15" spans="1:8" x14ac:dyDescent="0.2">
      <c r="A15" t="s">
        <v>70</v>
      </c>
      <c r="B15" s="5"/>
      <c r="C15" s="17">
        <f>+H7</f>
        <v>-0.12698412698412698</v>
      </c>
    </row>
    <row r="16" spans="1:8" x14ac:dyDescent="0.2">
      <c r="A16" s="8" t="s">
        <v>71</v>
      </c>
      <c r="B16" s="5"/>
      <c r="C16" s="2">
        <f>SUM(C12:D15)</f>
        <v>4.9630158730158733</v>
      </c>
    </row>
    <row r="17" spans="1:3" x14ac:dyDescent="0.2">
      <c r="A17" t="s">
        <v>80</v>
      </c>
      <c r="C17" s="1">
        <f>+C16*73500</f>
        <v>364781.66666666669</v>
      </c>
    </row>
    <row r="21" spans="1:3" x14ac:dyDescent="0.2">
      <c r="A21" t="s">
        <v>72</v>
      </c>
      <c r="C21" s="1">
        <v>28000</v>
      </c>
    </row>
    <row r="22" spans="1:3" x14ac:dyDescent="0.2">
      <c r="A22" t="s">
        <v>73</v>
      </c>
      <c r="C22" s="4">
        <v>16</v>
      </c>
    </row>
    <row r="23" spans="1:3" x14ac:dyDescent="0.2">
      <c r="A23" t="s">
        <v>74</v>
      </c>
      <c r="C23" s="4">
        <v>5</v>
      </c>
    </row>
    <row r="24" spans="1:3" x14ac:dyDescent="0.2">
      <c r="A24" t="s">
        <v>75</v>
      </c>
      <c r="C24" s="4">
        <f>+C22*C23</f>
        <v>80</v>
      </c>
    </row>
    <row r="25" spans="1:3" x14ac:dyDescent="0.2">
      <c r="A25" t="s">
        <v>76</v>
      </c>
      <c r="C25" s="4">
        <v>83</v>
      </c>
    </row>
    <row r="26" spans="1:3" x14ac:dyDescent="0.2">
      <c r="A26" t="s">
        <v>77</v>
      </c>
      <c r="C26" s="4">
        <f>+C25*C24</f>
        <v>6640</v>
      </c>
    </row>
    <row r="27" spans="1:3" x14ac:dyDescent="0.2">
      <c r="A27" t="s">
        <v>78</v>
      </c>
      <c r="C27" s="2">
        <f>+C21/C26</f>
        <v>4.2168674698795181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7"/>
  <sheetViews>
    <sheetView tabSelected="1" workbookViewId="0">
      <selection activeCell="B15" sqref="B15"/>
    </sheetView>
  </sheetViews>
  <sheetFormatPr defaultRowHeight="12.75" x14ac:dyDescent="0.2"/>
  <cols>
    <col min="1" max="1" width="20.5703125" customWidth="1"/>
    <col min="2" max="2" width="13.28515625" bestFit="1" customWidth="1"/>
    <col min="3" max="3" width="14.42578125" customWidth="1"/>
    <col min="4" max="4" width="16.140625" customWidth="1"/>
    <col min="6" max="6" width="10.7109375" bestFit="1" customWidth="1"/>
    <col min="7" max="7" width="12.5703125" customWidth="1"/>
    <col min="8" max="8" width="11.7109375" customWidth="1"/>
  </cols>
  <sheetData>
    <row r="2" spans="1:8" ht="15.75" x14ac:dyDescent="0.25">
      <c r="A2" s="11" t="s">
        <v>29</v>
      </c>
      <c r="H2" s="12">
        <f ca="1">TODAY()</f>
        <v>36592</v>
      </c>
    </row>
    <row r="5" spans="1:8" x14ac:dyDescent="0.2">
      <c r="A5" s="8" t="s">
        <v>0</v>
      </c>
      <c r="B5" t="s">
        <v>82</v>
      </c>
    </row>
    <row r="6" spans="1:8" x14ac:dyDescent="0.2">
      <c r="A6" s="8"/>
      <c r="B6" t="s">
        <v>83</v>
      </c>
    </row>
    <row r="7" spans="1:8" x14ac:dyDescent="0.2">
      <c r="A7" s="8"/>
    </row>
    <row r="8" spans="1:8" x14ac:dyDescent="0.2">
      <c r="A8" s="8" t="s">
        <v>3</v>
      </c>
      <c r="B8" t="s">
        <v>30</v>
      </c>
    </row>
    <row r="9" spans="1:8" x14ac:dyDescent="0.2">
      <c r="A9" s="8"/>
      <c r="B9" t="s">
        <v>84</v>
      </c>
    </row>
    <row r="10" spans="1:8" x14ac:dyDescent="0.2">
      <c r="A10" s="8"/>
    </row>
    <row r="11" spans="1:8" x14ac:dyDescent="0.2">
      <c r="B11" s="7" t="s">
        <v>35</v>
      </c>
      <c r="C11" s="7" t="s">
        <v>36</v>
      </c>
    </row>
    <row r="12" spans="1:8" x14ac:dyDescent="0.2">
      <c r="A12" s="8" t="s">
        <v>34</v>
      </c>
      <c r="B12" s="10">
        <v>75</v>
      </c>
      <c r="C12" s="10">
        <v>87.5</v>
      </c>
      <c r="D12" s="10"/>
      <c r="F12" s="1"/>
      <c r="G12" s="1"/>
      <c r="H12" s="1"/>
    </row>
    <row r="13" spans="1:8" x14ac:dyDescent="0.2">
      <c r="A13" s="8"/>
      <c r="F13" s="2"/>
      <c r="G13" s="2"/>
      <c r="H13" s="2"/>
    </row>
    <row r="14" spans="1:8" x14ac:dyDescent="0.2">
      <c r="A14" s="8" t="s">
        <v>4</v>
      </c>
      <c r="B14" s="1">
        <v>435000</v>
      </c>
      <c r="C14" t="s">
        <v>5</v>
      </c>
      <c r="F14" s="1"/>
      <c r="G14" s="1"/>
      <c r="H14" s="1"/>
    </row>
    <row r="15" spans="1:8" x14ac:dyDescent="0.2">
      <c r="A15" s="8"/>
      <c r="B15" s="2">
        <f>+B14/73.5/1000</f>
        <v>5.9183673469387763</v>
      </c>
      <c r="C15" t="s">
        <v>6</v>
      </c>
      <c r="F15" s="1"/>
    </row>
    <row r="16" spans="1:8" x14ac:dyDescent="0.2">
      <c r="A16" s="8"/>
      <c r="B16" s="2"/>
      <c r="F16" s="1"/>
    </row>
    <row r="17" spans="1:7" x14ac:dyDescent="0.2">
      <c r="A17" s="8" t="s">
        <v>31</v>
      </c>
      <c r="B17" s="9" t="s">
        <v>32</v>
      </c>
      <c r="F17" s="1"/>
    </row>
    <row r="18" spans="1:7" x14ac:dyDescent="0.2">
      <c r="A18" s="8"/>
      <c r="B18" s="2"/>
      <c r="F18" s="1"/>
    </row>
    <row r="19" spans="1:7" x14ac:dyDescent="0.2">
      <c r="A19" s="8"/>
      <c r="B19" s="7" t="s">
        <v>26</v>
      </c>
      <c r="D19" s="7" t="s">
        <v>27</v>
      </c>
      <c r="F19" s="1"/>
    </row>
    <row r="20" spans="1:7" x14ac:dyDescent="0.2">
      <c r="A20" s="8" t="s">
        <v>7</v>
      </c>
      <c r="B20" s="4">
        <v>8250</v>
      </c>
      <c r="C20" s="6" t="s">
        <v>8</v>
      </c>
      <c r="D20" s="4">
        <v>9100</v>
      </c>
      <c r="F20" s="1"/>
    </row>
    <row r="21" spans="1:7" x14ac:dyDescent="0.2">
      <c r="A21" s="8"/>
      <c r="B21" s="4">
        <v>8500</v>
      </c>
      <c r="C21" s="6" t="s">
        <v>9</v>
      </c>
      <c r="D21" s="4">
        <v>9350</v>
      </c>
    </row>
    <row r="22" spans="1:7" x14ac:dyDescent="0.2">
      <c r="A22" s="8"/>
    </row>
    <row r="23" spans="1:7" x14ac:dyDescent="0.2">
      <c r="A23" s="8" t="s">
        <v>10</v>
      </c>
      <c r="B23" s="2">
        <v>3.5</v>
      </c>
      <c r="C23" t="s">
        <v>11</v>
      </c>
      <c r="F23" s="13">
        <v>28000</v>
      </c>
      <c r="G23" s="14" t="s">
        <v>48</v>
      </c>
    </row>
    <row r="24" spans="1:7" x14ac:dyDescent="0.2">
      <c r="A24" s="8"/>
      <c r="E24" s="15" t="s">
        <v>49</v>
      </c>
      <c r="F24" s="2">
        <f>+F23/(73.5*16)</f>
        <v>23.80952380952381</v>
      </c>
      <c r="G24" t="s">
        <v>46</v>
      </c>
    </row>
    <row r="25" spans="1:7" x14ac:dyDescent="0.2">
      <c r="A25" s="8" t="s">
        <v>85</v>
      </c>
      <c r="B25" s="2">
        <v>0</v>
      </c>
      <c r="C25" s="3" t="s">
        <v>13</v>
      </c>
      <c r="E25" s="15" t="s">
        <v>49</v>
      </c>
      <c r="F25" s="2">
        <f>+F23/(73.5*16*5)</f>
        <v>4.7619047619047619</v>
      </c>
      <c r="G25" t="s">
        <v>47</v>
      </c>
    </row>
    <row r="26" spans="1:7" x14ac:dyDescent="0.2">
      <c r="A26" s="8"/>
    </row>
    <row r="27" spans="1:7" x14ac:dyDescent="0.2">
      <c r="A27" s="8" t="s">
        <v>14</v>
      </c>
      <c r="B27" s="1">
        <v>28000</v>
      </c>
      <c r="C27" t="s">
        <v>15</v>
      </c>
    </row>
    <row r="28" spans="1:7" x14ac:dyDescent="0.2">
      <c r="A28" s="8"/>
    </row>
    <row r="29" spans="1:7" x14ac:dyDescent="0.2">
      <c r="A29" s="8" t="s">
        <v>16</v>
      </c>
      <c r="B29" s="5" t="s">
        <v>17</v>
      </c>
      <c r="C29" t="s">
        <v>18</v>
      </c>
    </row>
    <row r="30" spans="1:7" x14ac:dyDescent="0.2">
      <c r="A30" s="8"/>
      <c r="C30" t="s">
        <v>19</v>
      </c>
    </row>
    <row r="31" spans="1:7" x14ac:dyDescent="0.2">
      <c r="A31" s="8"/>
      <c r="C31" t="s">
        <v>20</v>
      </c>
    </row>
    <row r="32" spans="1:7" x14ac:dyDescent="0.2">
      <c r="A32" s="8"/>
      <c r="C32" t="s">
        <v>21</v>
      </c>
    </row>
    <row r="33" spans="1:3" x14ac:dyDescent="0.2">
      <c r="A33" s="8"/>
      <c r="C33" t="s">
        <v>22</v>
      </c>
    </row>
    <row r="34" spans="1:3" x14ac:dyDescent="0.2">
      <c r="A34" s="8"/>
      <c r="C34" t="s">
        <v>23</v>
      </c>
    </row>
    <row r="35" spans="1:3" x14ac:dyDescent="0.2">
      <c r="A35" s="8"/>
    </row>
    <row r="36" spans="1:3" x14ac:dyDescent="0.2">
      <c r="A36" s="8" t="s">
        <v>24</v>
      </c>
      <c r="B36" t="s">
        <v>25</v>
      </c>
    </row>
    <row r="37" spans="1:3" x14ac:dyDescent="0.2">
      <c r="A37" s="8"/>
    </row>
    <row r="38" spans="1:3" x14ac:dyDescent="0.2">
      <c r="A38" s="8" t="s">
        <v>28</v>
      </c>
      <c r="B38" t="s">
        <v>33</v>
      </c>
    </row>
    <row r="39" spans="1:3" x14ac:dyDescent="0.2">
      <c r="A39" s="8"/>
    </row>
    <row r="40" spans="1:3" x14ac:dyDescent="0.2">
      <c r="A40" s="8" t="s">
        <v>37</v>
      </c>
      <c r="B40" s="7" t="s">
        <v>38</v>
      </c>
      <c r="C40" s="7" t="s">
        <v>39</v>
      </c>
    </row>
    <row r="41" spans="1:3" x14ac:dyDescent="0.2">
      <c r="A41" s="8"/>
      <c r="B41" s="5" t="s">
        <v>40</v>
      </c>
      <c r="C41" s="5">
        <v>500</v>
      </c>
    </row>
    <row r="42" spans="1:3" x14ac:dyDescent="0.2">
      <c r="A42" s="8"/>
      <c r="B42" s="5" t="s">
        <v>41</v>
      </c>
      <c r="C42" s="5">
        <v>150</v>
      </c>
    </row>
    <row r="43" spans="1:3" x14ac:dyDescent="0.2">
      <c r="B43" s="5" t="s">
        <v>42</v>
      </c>
      <c r="C43" s="5">
        <v>200</v>
      </c>
    </row>
    <row r="44" spans="1:3" x14ac:dyDescent="0.2">
      <c r="B44" s="5" t="s">
        <v>43</v>
      </c>
      <c r="C44" s="5">
        <v>170</v>
      </c>
    </row>
    <row r="46" spans="1:3" x14ac:dyDescent="0.2">
      <c r="B46" t="s">
        <v>44</v>
      </c>
    </row>
    <row r="47" spans="1:3" x14ac:dyDescent="0.2">
      <c r="B47" t="s">
        <v>45</v>
      </c>
    </row>
  </sheetData>
  <pageMargins left="0.75" right="0.75" top="1" bottom="1" header="0.5" footer="0.5"/>
  <pageSetup scale="83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4"/>
  <sheetViews>
    <sheetView workbookViewId="0">
      <selection activeCell="B18" sqref="B18"/>
    </sheetView>
  </sheetViews>
  <sheetFormatPr defaultRowHeight="12.75" x14ac:dyDescent="0.2"/>
  <sheetData>
    <row r="3" spans="3:9" x14ac:dyDescent="0.2">
      <c r="C3">
        <v>50</v>
      </c>
      <c r="D3" t="s">
        <v>56</v>
      </c>
      <c r="I3" s="1">
        <v>400000</v>
      </c>
    </row>
    <row r="4" spans="3:9" x14ac:dyDescent="0.2">
      <c r="C4">
        <v>54</v>
      </c>
      <c r="D4" t="s">
        <v>57</v>
      </c>
      <c r="I4" s="1"/>
    </row>
    <row r="5" spans="3:9" x14ac:dyDescent="0.2">
      <c r="C5">
        <f>+C3*C4</f>
        <v>2700</v>
      </c>
      <c r="D5" t="s">
        <v>58</v>
      </c>
      <c r="I5" s="2">
        <f>+I3/(73.5*1000)</f>
        <v>5.4421768707482991</v>
      </c>
    </row>
    <row r="6" spans="3:9" x14ac:dyDescent="0.2">
      <c r="C6">
        <v>28000</v>
      </c>
      <c r="D6" t="s">
        <v>59</v>
      </c>
      <c r="I6">
        <f>+I5/12</f>
        <v>0.45351473922902491</v>
      </c>
    </row>
    <row r="7" spans="3:9" x14ac:dyDescent="0.2">
      <c r="C7">
        <f>+C6/C5</f>
        <v>10.37037037037037</v>
      </c>
      <c r="D7" t="s">
        <v>60</v>
      </c>
    </row>
    <row r="9" spans="3:9" x14ac:dyDescent="0.2">
      <c r="C9">
        <v>9300</v>
      </c>
      <c r="F9">
        <v>30</v>
      </c>
    </row>
    <row r="10" spans="3:9" x14ac:dyDescent="0.2">
      <c r="C10">
        <v>2.75</v>
      </c>
      <c r="F10">
        <v>3.25</v>
      </c>
    </row>
    <row r="11" spans="3:9" x14ac:dyDescent="0.2">
      <c r="C11">
        <f>+C10*C9/1000</f>
        <v>25.574999999999999</v>
      </c>
      <c r="F11">
        <f>+F9-F10</f>
        <v>26.75</v>
      </c>
    </row>
    <row r="12" spans="3:9" x14ac:dyDescent="0.2">
      <c r="C12">
        <v>3.5</v>
      </c>
      <c r="F12">
        <f>+F11/0.85</f>
        <v>31.47058823529412</v>
      </c>
    </row>
    <row r="13" spans="3:9" x14ac:dyDescent="0.2">
      <c r="C13">
        <f>+C12+C11</f>
        <v>29.074999999999999</v>
      </c>
    </row>
    <row r="14" spans="3:9" x14ac:dyDescent="0.2">
      <c r="C14">
        <f>+C13-C7</f>
        <v>18.704629629629629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 Summary 12-99</vt:lpstr>
      <vt:lpstr>UAE Price Reuest</vt:lpstr>
      <vt:lpstr>BidAskPricing</vt:lpstr>
      <vt:lpstr>Deal Summary 3-00</vt:lpstr>
      <vt:lpstr>Sheet1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tswank</dc:creator>
  <cp:lastModifiedBy>Jan Havlíček</cp:lastModifiedBy>
  <cp:lastPrinted>2000-03-02T22:47:19Z</cp:lastPrinted>
  <dcterms:created xsi:type="dcterms:W3CDTF">1999-11-29T14:26:51Z</dcterms:created>
  <dcterms:modified xsi:type="dcterms:W3CDTF">2023-09-13T22:04:58Z</dcterms:modified>
</cp:coreProperties>
</file>