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3E006FF-CD25-490E-83F3-D8CA8E176793}" xr6:coauthVersionLast="47" xr6:coauthVersionMax="47" xr10:uidLastSave="{00000000-0000-0000-0000-000000000000}"/>
  <bookViews>
    <workbookView xWindow="-120" yWindow="-120" windowWidth="38640" windowHeight="15720"/>
  </bookViews>
  <sheets>
    <sheet name="Table of Contents" sheetId="16" r:id="rId1"/>
    <sheet name="Scope" sheetId="17" r:id="rId2"/>
    <sheet name="Assumptions" sheetId="18" r:id="rId3"/>
    <sheet name="Map" sheetId="2" r:id="rId4"/>
    <sheet name="Summary" sheetId="19" r:id="rId5"/>
    <sheet name="Mob_Estimate" sheetId="20" r:id="rId6"/>
    <sheet name="Mob_Schedule" sheetId="21" r:id="rId7"/>
    <sheet name="Mob_Staffing" sheetId="22" r:id="rId8"/>
    <sheet name="Training" sheetId="23" r:id="rId9"/>
    <sheet name="ScopeSplit" sheetId="24" r:id="rId10"/>
    <sheet name="Mob_Backup" sheetId="25" state="hidden" r:id="rId11"/>
    <sheet name="O&amp;M_Estimate" sheetId="26" r:id="rId12"/>
    <sheet name="Plt_Staff" sheetId="27" r:id="rId13"/>
    <sheet name="Pay &amp; Benefits Calculations" sheetId="28" state="hidden" r:id="rId14"/>
    <sheet name="O&amp;M_Backup" sheetId="29" state="hidden" r:id="rId15"/>
    <sheet name="LM6000PC_MMR_Gas" sheetId="30" state="hidden" r:id="rId16"/>
  </sheets>
  <definedNames>
    <definedName name="_xlnm._FilterDatabase" localSheetId="10" hidden="1">Mob_Backup!$A$17:$D$266</definedName>
    <definedName name="_xlnm._FilterDatabase" localSheetId="14" hidden="1">'O&amp;M_Backup'!#REF!</definedName>
    <definedName name="ACwvu.jjj." localSheetId="4" hidden="1">Summary!#REF!</definedName>
    <definedName name="CompleteFilterPrint" localSheetId="14">'O&amp;M_Backup'!$A$2:$D$285</definedName>
    <definedName name="guam" hidden="1">{#N/A,#N/A,TRUE,"CoverLetter";#N/A,#N/A,TRUE,"Scope";#N/A,#N/A,TRUE,"Table of Contents";#N/A,#N/A,TRUE,"Summary";#N/A,#N/A,TRUE,"Assumptions";#N/A,#N/A,TRUE,"OrgChart";#N/A,#N/A,TRUE,"Schedule";#N/A,#N/A,TRUE,"Mob";#N/A,#N/A,TRUE,"Spares";#N/A,#N/A,TRUE,"MobStaff";#N/A,#N/A,TRUE,"Training";#N/A,#N/A,TRUE,"MobBackup";#N/A,#N/A,TRUE,"ComOps";#N/A,#N/A,TRUE,"Staff_Yrs1,3";#N/A,#N/A,TRUE,"Staff_Yrs4,5";#N/A,#N/A,TRUE,"Staff_Yrs6+";#N/A,#N/A,TRUE,"ExpatBenefits";#N/A,#N/A,TRUE,"ContractStaff";#N/A,#N/A,TRUE,"CommOpnsBackup";#N/A,#N/A,TRUE,"MR";#N/A,#N/A,TRUE,"CTG L&amp;E";#N/A,#N/A,TRUE,"STG L&amp;E";#N/A,#N/A,TRUE,"Rotation";#N/A,#N/A,TRUE,"AvailModl";#N/A,#N/A,TRUE,"Data";#N/A,#N/A,TRUE,"Comparisons";#N/A,#N/A,TRUE,"ScopeSplit"}</definedName>
    <definedName name="piti" hidden="1">{#N/A,#N/A,TRUE,"CoverLetter";#N/A,#N/A,TRUE,"Scope";#N/A,#N/A,TRUE,"Table of Contents";#N/A,#N/A,TRUE,"Summary";#N/A,#N/A,TRUE,"Assumptions";#N/A,#N/A,TRUE,"OrgChart";#N/A,#N/A,TRUE,"Schedule";#N/A,#N/A,TRUE,"Mob";#N/A,#N/A,TRUE,"Spares";#N/A,#N/A,TRUE,"MobStaff";#N/A,#N/A,TRUE,"Training";#N/A,#N/A,TRUE,"MobBackup";#N/A,#N/A,TRUE,"ComOps";#N/A,#N/A,TRUE,"Staff_Yrs1,3";#N/A,#N/A,TRUE,"Staff_Yrs4,5";#N/A,#N/A,TRUE,"Staff_Yrs6+";#N/A,#N/A,TRUE,"ExpatBenefits";#N/A,#N/A,TRUE,"ContractStaff";#N/A,#N/A,TRUE,"CommOpnsBackup";#N/A,#N/A,TRUE,"MR";#N/A,#N/A,TRUE,"CTG L&amp;E";#N/A,#N/A,TRUE,"STG L&amp;E";#N/A,#N/A,TRUE,"Rotation";#N/A,#N/A,TRUE,"AvailModl";#N/A,#N/A,TRUE,"Data";#N/A,#N/A,TRUE,"Comparisons";#N/A,#N/A,TRUE,"ScopeSplit"}</definedName>
    <definedName name="_xlnm.Print_Area" localSheetId="10">Mob_Backup!$E$1:$J$299</definedName>
    <definedName name="_xlnm.Print_Area" localSheetId="5">Mob_Estimate!$A$1:$D$54</definedName>
    <definedName name="_xlnm.Print_Area" localSheetId="6">Mob_Schedule!$A$1:$Z$30</definedName>
    <definedName name="_xlnm.Print_Area" localSheetId="14">'O&amp;M_Backup'!$A$1:$D$311</definedName>
    <definedName name="_xlnm.Print_Area" localSheetId="11">'O&amp;M_Estimate'!$A$1:$J$56</definedName>
    <definedName name="_xlnm.Print_Area" localSheetId="13">'Pay &amp; Benefits Calculations'!#REF!</definedName>
    <definedName name="_xlnm.Print_Area" localSheetId="9">ScopeSplit!$A$1:$F$122</definedName>
    <definedName name="_xlnm.Print_Area" localSheetId="4">Summary!$A$1:$L$49</definedName>
    <definedName name="_xlnm.Print_Area" localSheetId="0">'Table of Contents'!$A$1:$G$42</definedName>
    <definedName name="_xlnm.Print_Area" localSheetId="8">Training!$A$1:$I$61</definedName>
    <definedName name="SALARY">#REF!</definedName>
    <definedName name="Swvu.jjj." localSheetId="4" hidden="1">Summary!#REF!</definedName>
    <definedName name="UpLt_CommOps" localSheetId="11">'O&amp;M_Estimate'!#REF!</definedName>
    <definedName name="wrn.Ilijan._.Print." localSheetId="1" hidden="1">{#N/A,#N/A,TRUE,"CoverLetter";#N/A,#N/A,TRUE,"Scope";#N/A,#N/A,TRUE,"Table of Contents";#N/A,#N/A,TRUE,"Summary";#N/A,#N/A,TRUE,"Assumptions";#N/A,#N/A,TRUE,"OrgChart";#N/A,#N/A,TRUE,"Schedule";#N/A,#N/A,TRUE,"Mob";#N/A,#N/A,TRUE,"Spares";#N/A,#N/A,TRUE,"MobStaff";#N/A,#N/A,TRUE,"Training";#N/A,#N/A,TRUE,"MobBackup";#N/A,#N/A,TRUE,"ComOps";#N/A,#N/A,TRUE,"Staff_Yrs1,3";#N/A,#N/A,TRUE,"Staff_Yrs4,5";#N/A,#N/A,TRUE,"Staff_Yrs6+";#N/A,#N/A,TRUE,"ExpatBenefits";#N/A,#N/A,TRUE,"ContractStaff";#N/A,#N/A,TRUE,"CommOpnsBackup";#N/A,#N/A,TRUE,"MR";#N/A,#N/A,TRUE,"CTG L&amp;E";#N/A,#N/A,TRUE,"STG L&amp;E";#N/A,#N/A,TRUE,"Rotation";#N/A,#N/A,TRUE,"AvailModl";#N/A,#N/A,TRUE,"Data";#N/A,#N/A,TRUE,"Comparisons";#N/A,#N/A,TRUE,"ScopeSplit"}</definedName>
    <definedName name="wrn.Ilijan._.Print." hidden="1">{#N/A,#N/A,TRUE,"CoverLetter";#N/A,#N/A,TRUE,"Scope";#N/A,#N/A,TRUE,"Table of Contents";#N/A,#N/A,TRUE,"Summary";#N/A,#N/A,TRUE,"Assumptions";#N/A,#N/A,TRUE,"OrgChart";#N/A,#N/A,TRUE,"Schedule";#N/A,#N/A,TRUE,"Mob";#N/A,#N/A,TRUE,"Spares";#N/A,#N/A,TRUE,"MobStaff";#N/A,#N/A,TRUE,"Training";#N/A,#N/A,TRUE,"MobBackup";#N/A,#N/A,TRUE,"ComOps";#N/A,#N/A,TRUE,"Staff_Yrs1,3";#N/A,#N/A,TRUE,"Staff_Yrs4,5";#N/A,#N/A,TRUE,"Staff_Yrs6+";#N/A,#N/A,TRUE,"ExpatBenefits";#N/A,#N/A,TRUE,"ContractStaff";#N/A,#N/A,TRUE,"CommOpnsBackup";#N/A,#N/A,TRUE,"MR";#N/A,#N/A,TRUE,"CTG L&amp;E";#N/A,#N/A,TRUE,"STG L&amp;E";#N/A,#N/A,TRUE,"Rotation";#N/A,#N/A,TRUE,"AvailModl";#N/A,#N/A,TRUE,"Data";#N/A,#N/A,TRUE,"Comparisons";#N/A,#N/A,TRUE,"ScopeSplit"}</definedName>
    <definedName name="wvu.jjj." localSheetId="4" hidden="1">{TRUE,TRUE,-1.25,-15.5,484.5,276.75,FALSE,TRUE,TRUE,TRUE,0,1,#N/A,30,#N/A,8.4406779661017,23.7692307692308,1,FALSE,FALSE,3,TRUE,1,FALSE,75,"Swvu.jjj.","ACwvu.jjj.",#N/A,FALSE,FALSE,0.5,0.5,0.71,0.77,1,"","&amp;Lkwpierce&amp;C7/31/96&amp;R&amp;F, Rev.1_x000D_Page &amp;P",TRUE,FALSE,FALSE,FALSE,1,#N/A,1,1,FALSE,FALSE,#N/A,#N/A,FALSE,FALSE,FALSE,1,65532,65532,FALSE,FALSE,TRUE,TRUE,TRUE}</definedName>
    <definedName name="Z_23858840_75A3_11D3_9B0F_006097CA9A6E_.wvu.PrintArea" localSheetId="4" hidden="1">Summary!$A$1:$H$55</definedName>
    <definedName name="Z_27B46881_0F5B_11D2_8727_00600802E52E_.wvu.PrintArea" localSheetId="4" hidden="1">Summary!$A$1:$H$50</definedName>
    <definedName name="Z_42889D47_02B9_43E3_9871_035CE2C6ABFC_.wvu.Cols" localSheetId="10" hidden="1">Mob_Backup!$A:$D,Mob_Backup!$I:$J</definedName>
    <definedName name="Z_42889D47_02B9_43E3_9871_035CE2C6ABFC_.wvu.Cols" localSheetId="6" hidden="1">Mob_Schedule!$B:$E</definedName>
    <definedName name="Z_42889D47_02B9_43E3_9871_035CE2C6ABFC_.wvu.FilterData" localSheetId="10" hidden="1">Mob_Backup!$A$17:$D$266</definedName>
    <definedName name="Z_42889D47_02B9_43E3_9871_035CE2C6ABFC_.wvu.PrintArea" localSheetId="10" hidden="1">Mob_Backup!$E$1:$J$299</definedName>
    <definedName name="Z_42889D47_02B9_43E3_9871_035CE2C6ABFC_.wvu.PrintArea" localSheetId="5" hidden="1">Mob_Estimate!$A$1:$D$54</definedName>
    <definedName name="Z_42889D47_02B9_43E3_9871_035CE2C6ABFC_.wvu.PrintArea" localSheetId="6" hidden="1">Mob_Schedule!$A$1:$Z$30</definedName>
    <definedName name="Z_42889D47_02B9_43E3_9871_035CE2C6ABFC_.wvu.PrintArea" localSheetId="14" hidden="1">'O&amp;M_Backup'!$A$1:$D$311</definedName>
    <definedName name="Z_42889D47_02B9_43E3_9871_035CE2C6ABFC_.wvu.PrintArea" localSheetId="11" hidden="1">'O&amp;M_Estimate'!$A$1:$E$60</definedName>
    <definedName name="Z_42889D47_02B9_43E3_9871_035CE2C6ABFC_.wvu.PrintArea" localSheetId="13" hidden="1">'Pay &amp; Benefits Calculations'!#REF!</definedName>
    <definedName name="Z_42889D47_02B9_43E3_9871_035CE2C6ABFC_.wvu.PrintArea" localSheetId="9" hidden="1">ScopeSplit!$A$1:$F$122</definedName>
    <definedName name="Z_42889D47_02B9_43E3_9871_035CE2C6ABFC_.wvu.PrintArea" localSheetId="4" hidden="1">Summary!$A$1:$F$57</definedName>
    <definedName name="Z_42889D47_02B9_43E3_9871_035CE2C6ABFC_.wvu.PrintArea" localSheetId="0" hidden="1">'Table of Contents'!$A$1:$G$42</definedName>
    <definedName name="Z_42889D47_02B9_43E3_9871_035CE2C6ABFC_.wvu.Rows" localSheetId="15" hidden="1">LM6000PC_MMR_Gas!$37:$70</definedName>
    <definedName name="Z_42889D47_02B9_43E3_9871_035CE2C6ABFC_.wvu.Rows" localSheetId="5" hidden="1">Mob_Estimate!$51:$51</definedName>
    <definedName name="Z_42889D47_02B9_43E3_9871_035CE2C6ABFC_.wvu.Rows" localSheetId="6" hidden="1">Mob_Schedule!$13:$16</definedName>
    <definedName name="Z_42889D47_02B9_43E3_9871_035CE2C6ABFC_.wvu.Rows" localSheetId="7" hidden="1">Mob_Staffing!$9:$12,Mob_Staffing!$14:$14</definedName>
    <definedName name="Z_42889D47_02B9_43E3_9871_035CE2C6ABFC_.wvu.Rows" localSheetId="11" hidden="1">'O&amp;M_Estimate'!$34:$37</definedName>
    <definedName name="Z_42889D47_02B9_43E3_9871_035CE2C6ABFC_.wvu.Rows" localSheetId="13" hidden="1">'Pay &amp; Benefits Calculations'!#REF!</definedName>
    <definedName name="Z_42889D47_02B9_43E3_9871_035CE2C6ABFC_.wvu.Rows" localSheetId="1" hidden="1">Scope!$52:$52</definedName>
    <definedName name="Z_42889D47_02B9_43E3_9871_035CE2C6ABFC_.wvu.Rows" localSheetId="4" hidden="1">Summary!$24:$24,Summary!$52:$52</definedName>
    <definedName name="Z_42889D47_02B9_43E3_9871_035CE2C6ABFC_.wvu.Rows" localSheetId="0" hidden="1">'Table of Contents'!$15:$15,'Table of Contents'!$17:$18,'Table of Contents'!$24:$25,'Table of Contents'!$30:$32,'Table of Contents'!$37:$37</definedName>
    <definedName name="Z_44B1FD93_6C50_11D3_9B06_006097CA9A6E_.wvu.PrintArea" localSheetId="4" hidden="1">Summary!$A$1:$H$55</definedName>
    <definedName name="Z_76D90A80_B211_11D3_B354_005004B48B2E_.wvu.PrintArea" localSheetId="4" hidden="1">Summary!$A$1:$H$55</definedName>
    <definedName name="Z_7B3B2BED_CD8B_11D3_96CC_0050048E3156_.wvu.Cols" localSheetId="10" hidden="1">Mob_Backup!$A:$D,Mob_Backup!$I:$J</definedName>
    <definedName name="Z_7B3B2BED_CD8B_11D3_96CC_0050048E3156_.wvu.FilterData" localSheetId="10" hidden="1">Mob_Backup!$A$17:$D$266</definedName>
    <definedName name="Z_7B3B2BED_CD8B_11D3_96CC_0050048E3156_.wvu.PrintArea" localSheetId="10" hidden="1">Mob_Backup!$E$1:$J$299</definedName>
    <definedName name="Z_7B3B2BED_CD8B_11D3_96CC_0050048E3156_.wvu.PrintArea" localSheetId="5" hidden="1">Mob_Estimate!$A$1:$D$54</definedName>
    <definedName name="Z_7B3B2BED_CD8B_11D3_96CC_0050048E3156_.wvu.PrintArea" localSheetId="6" hidden="1">Mob_Schedule!$A$1:$Z$30</definedName>
    <definedName name="Z_7B3B2BED_CD8B_11D3_96CC_0050048E3156_.wvu.PrintArea" localSheetId="14" hidden="1">'O&amp;M_Backup'!$A$1:$D$311</definedName>
    <definedName name="Z_7B3B2BED_CD8B_11D3_96CC_0050048E3156_.wvu.PrintArea" localSheetId="11" hidden="1">'O&amp;M_Estimate'!$A$1:$E$61</definedName>
    <definedName name="Z_7B3B2BED_CD8B_11D3_96CC_0050048E3156_.wvu.PrintArea" localSheetId="13" hidden="1">'Pay &amp; Benefits Calculations'!#REF!</definedName>
    <definedName name="Z_7B3B2BED_CD8B_11D3_96CC_0050048E3156_.wvu.PrintArea" localSheetId="9" hidden="1">ScopeSplit!$A$1:$F$122</definedName>
    <definedName name="Z_7B3B2BED_CD8B_11D3_96CC_0050048E3156_.wvu.PrintArea" localSheetId="4" hidden="1">Summary!$A$1:$F$57</definedName>
    <definedName name="Z_7B3B2BED_CD8B_11D3_96CC_0050048E3156_.wvu.PrintArea" localSheetId="0" hidden="1">'Table of Contents'!$A$1:$G$42</definedName>
    <definedName name="Z_7B3B2BED_CD8B_11D3_96CC_0050048E3156_.wvu.Rows" localSheetId="15" hidden="1">LM6000PC_MMR_Gas!$37:$70</definedName>
    <definedName name="Z_7B3B2BED_CD8B_11D3_96CC_0050048E3156_.wvu.Rows" localSheetId="5" hidden="1">Mob_Estimate!$41:$42,Mob_Estimate!$51:$51</definedName>
    <definedName name="Z_7B3B2BED_CD8B_11D3_96CC_0050048E3156_.wvu.Rows" localSheetId="6" hidden="1">Mob_Schedule!$13:$16</definedName>
    <definedName name="Z_7B3B2BED_CD8B_11D3_96CC_0050048E3156_.wvu.Rows" localSheetId="7" hidden="1">Mob_Staffing!$9:$10</definedName>
    <definedName name="Z_7B3B2BED_CD8B_11D3_96CC_0050048E3156_.wvu.Rows" localSheetId="14" hidden="1">'O&amp;M_Backup'!$72:$72,'O&amp;M_Backup'!$74:$74,'O&amp;M_Backup'!$237:$239</definedName>
    <definedName name="Z_7B3B2BED_CD8B_11D3_96CC_0050048E3156_.wvu.Rows" localSheetId="11" hidden="1">'O&amp;M_Estimate'!$35:$35,'O&amp;M_Estimate'!$52:$53</definedName>
    <definedName name="Z_7B3B2BED_CD8B_11D3_96CC_0050048E3156_.wvu.Rows" localSheetId="13" hidden="1">'Pay &amp; Benefits Calculations'!#REF!</definedName>
    <definedName name="Z_7B3B2BED_CD8B_11D3_96CC_0050048E3156_.wvu.Rows" localSheetId="1" hidden="1">Scope!$52:$52</definedName>
    <definedName name="Z_7B3B2BED_CD8B_11D3_96CC_0050048E3156_.wvu.Rows" localSheetId="4" hidden="1">Summary!$15:$16,Summary!$24:$24,Summary!$47:$48,Summary!$52:$52</definedName>
    <definedName name="Z_7B3B2BED_CD8B_11D3_96CC_0050048E3156_.wvu.Rows" localSheetId="0" hidden="1">'Table of Contents'!$15:$15,'Table of Contents'!$17:$18,'Table of Contents'!$24:$25,'Table of Contents'!$30:$32,'Table of Contents'!$37:$37</definedName>
    <definedName name="Z_7B8B4280_75B9_11D3_B354_0050048AD64B_.wvu.PrintArea" localSheetId="4" hidden="1">Summary!$A$1:$H$55</definedName>
    <definedName name="Z_7C8030C1_816E_11D3_9B1F_000064657374_.wvu.PrintArea" localSheetId="4" hidden="1">Summary!$A$1:$H$55</definedName>
    <definedName name="Z_887EA5F3_7E5C_11D3_9B1C_006097CA9A6E_.wvu.PrintArea" localSheetId="4" hidden="1">Summary!$A$1:$H$55</definedName>
    <definedName name="Z_97C9EDC3_809C_11D3_9B1E_006097CA9A6E_.wvu.PrintArea" localSheetId="4" hidden="1">Summary!$A$1:$H$55</definedName>
    <definedName name="Z_ADAAEFB1_7735_11D3_9B11_006097CA9A6E_.wvu.PrintArea" localSheetId="4" hidden="1">Summary!$A$1:$H$55</definedName>
    <definedName name="Z_B14BA500_7FDD_11D3_9B1D_000064657374_.wvu.PrintArea" localSheetId="4" hidden="1">Summary!$A$1:$H$55</definedName>
    <definedName name="Z_DD4FE528_7357_11D3_9B0D_006097CA9A6E_.wvu.PrintArea" localSheetId="4" hidden="1">Summary!$A$1:$H$55</definedName>
    <definedName name="Z_E29E7520_B211_11D3_B354_005004B48B2E_.wvu.PrintArea" localSheetId="4" hidden="1">Summary!$A$1:$H$55</definedName>
    <definedName name="Z_F8408542_C03D_11D2_9A75_00600802E52E_.wvu.PrintArea" localSheetId="4" hidden="1">Summary!$A$1:$H$50</definedName>
  </definedNames>
  <calcPr calcId="0" fullCalcOnLoad="1"/>
</workbook>
</file>

<file path=xl/calcChain.xml><?xml version="1.0" encoding="utf-8"?>
<calcChain xmlns="http://schemas.openxmlformats.org/spreadsheetml/2006/main">
  <c r="A1" i="18" l="1"/>
  <c r="A1" i="30"/>
  <c r="H6" i="30"/>
  <c r="H7" i="30"/>
  <c r="H8" i="30"/>
  <c r="H9" i="30"/>
  <c r="D13" i="30"/>
  <c r="C22" i="30"/>
  <c r="D22" i="30"/>
  <c r="E22" i="30"/>
  <c r="F22" i="30"/>
  <c r="G22" i="30"/>
  <c r="H22" i="30"/>
  <c r="I22" i="30"/>
  <c r="J22" i="30"/>
  <c r="K22" i="30"/>
  <c r="L22" i="30"/>
  <c r="M22" i="30"/>
  <c r="N22" i="30"/>
  <c r="O22" i="30"/>
  <c r="P22" i="30"/>
  <c r="Q22" i="30"/>
  <c r="R22" i="30"/>
  <c r="S22" i="30"/>
  <c r="T22" i="30"/>
  <c r="U22" i="30"/>
  <c r="V22" i="30"/>
  <c r="B24" i="30"/>
  <c r="C24" i="30"/>
  <c r="D24" i="30"/>
  <c r="E24" i="30"/>
  <c r="F24" i="30"/>
  <c r="G24" i="30"/>
  <c r="H24" i="30"/>
  <c r="I24" i="30"/>
  <c r="J24" i="30"/>
  <c r="K24" i="30"/>
  <c r="L24" i="30"/>
  <c r="M24" i="30"/>
  <c r="N24" i="30"/>
  <c r="O24" i="30"/>
  <c r="P24" i="30"/>
  <c r="Q24" i="30"/>
  <c r="R24" i="30"/>
  <c r="S24" i="30"/>
  <c r="T24" i="30"/>
  <c r="U24" i="30"/>
  <c r="V24" i="30"/>
  <c r="C25" i="30"/>
  <c r="D25" i="30"/>
  <c r="E25" i="30"/>
  <c r="F25" i="30"/>
  <c r="G25" i="30"/>
  <c r="H25" i="30"/>
  <c r="I25" i="30"/>
  <c r="J25" i="30"/>
  <c r="K25" i="30"/>
  <c r="L25" i="30"/>
  <c r="M25" i="30"/>
  <c r="N25" i="30"/>
  <c r="O25" i="30"/>
  <c r="P25" i="30"/>
  <c r="Q25" i="30"/>
  <c r="R25" i="30"/>
  <c r="S25" i="30"/>
  <c r="T25" i="30"/>
  <c r="U25" i="30"/>
  <c r="V25" i="30"/>
  <c r="B26" i="30"/>
  <c r="C26" i="30"/>
  <c r="D26" i="30"/>
  <c r="E26" i="30"/>
  <c r="F26" i="30"/>
  <c r="G26" i="30"/>
  <c r="H26" i="30"/>
  <c r="I26" i="30"/>
  <c r="J26" i="30"/>
  <c r="K26" i="30"/>
  <c r="L26" i="30"/>
  <c r="M26" i="30"/>
  <c r="N26" i="30"/>
  <c r="O26" i="30"/>
  <c r="P26" i="30"/>
  <c r="Q26" i="30"/>
  <c r="R26" i="30"/>
  <c r="S26" i="30"/>
  <c r="T26" i="30"/>
  <c r="U26" i="30"/>
  <c r="V26" i="30"/>
  <c r="C27" i="30"/>
  <c r="D27" i="30"/>
  <c r="E27" i="30"/>
  <c r="F27" i="30"/>
  <c r="G27" i="30"/>
  <c r="H27" i="30"/>
  <c r="I27" i="30"/>
  <c r="J27" i="30"/>
  <c r="K27" i="30"/>
  <c r="L27" i="30"/>
  <c r="M27" i="30"/>
  <c r="N27" i="30"/>
  <c r="O27" i="30"/>
  <c r="P27" i="30"/>
  <c r="Q27" i="30"/>
  <c r="R27" i="30"/>
  <c r="S27" i="30"/>
  <c r="T27" i="30"/>
  <c r="U27" i="30"/>
  <c r="V27" i="30"/>
  <c r="B28" i="30"/>
  <c r="C28" i="30"/>
  <c r="D28" i="30"/>
  <c r="E28" i="30"/>
  <c r="F28" i="30"/>
  <c r="G28" i="30"/>
  <c r="H28" i="30"/>
  <c r="I28" i="30"/>
  <c r="J28" i="30"/>
  <c r="K28" i="30"/>
  <c r="L28" i="30"/>
  <c r="M28" i="30"/>
  <c r="N28" i="30"/>
  <c r="O28" i="30"/>
  <c r="P28" i="30"/>
  <c r="Q28" i="30"/>
  <c r="R28" i="30"/>
  <c r="S28" i="30"/>
  <c r="T28" i="30"/>
  <c r="U28" i="30"/>
  <c r="V28" i="30"/>
  <c r="B29" i="30"/>
  <c r="C29" i="30"/>
  <c r="D29" i="30"/>
  <c r="E29" i="30"/>
  <c r="F29" i="30"/>
  <c r="G29" i="30"/>
  <c r="H29" i="30"/>
  <c r="I29" i="30"/>
  <c r="J29" i="30"/>
  <c r="K29" i="30"/>
  <c r="L29" i="30"/>
  <c r="M29" i="30"/>
  <c r="N29" i="30"/>
  <c r="O29" i="30"/>
  <c r="P29" i="30"/>
  <c r="Q29" i="30"/>
  <c r="R29" i="30"/>
  <c r="S29" i="30"/>
  <c r="T29" i="30"/>
  <c r="U29" i="30"/>
  <c r="V29" i="30"/>
  <c r="W29" i="30"/>
  <c r="H40" i="30"/>
  <c r="H41" i="30"/>
  <c r="H42" i="30"/>
  <c r="H43" i="30"/>
  <c r="C56" i="30"/>
  <c r="D56" i="30"/>
  <c r="E56" i="30"/>
  <c r="F56" i="30"/>
  <c r="G56" i="30"/>
  <c r="H56" i="30"/>
  <c r="I56" i="30"/>
  <c r="J56" i="30"/>
  <c r="K56" i="30"/>
  <c r="L56" i="30"/>
  <c r="M56" i="30"/>
  <c r="N56" i="30"/>
  <c r="O56" i="30"/>
  <c r="P56" i="30"/>
  <c r="Q56" i="30"/>
  <c r="R56" i="30"/>
  <c r="S56" i="30"/>
  <c r="T56" i="30"/>
  <c r="U56" i="30"/>
  <c r="V56" i="30"/>
  <c r="B58" i="30"/>
  <c r="C58" i="30"/>
  <c r="D58" i="30"/>
  <c r="E58" i="30"/>
  <c r="F58" i="30"/>
  <c r="G58" i="30"/>
  <c r="H58" i="30"/>
  <c r="I58" i="30"/>
  <c r="J58" i="30"/>
  <c r="K58" i="30"/>
  <c r="L58" i="30"/>
  <c r="M58" i="30"/>
  <c r="N58" i="30"/>
  <c r="O58" i="30"/>
  <c r="P58" i="30"/>
  <c r="Q58" i="30"/>
  <c r="R58" i="30"/>
  <c r="S58" i="30"/>
  <c r="T58" i="30"/>
  <c r="U58" i="30"/>
  <c r="V58" i="30"/>
  <c r="C59" i="30"/>
  <c r="D59" i="30"/>
  <c r="E59" i="30"/>
  <c r="F59" i="30"/>
  <c r="G59" i="30"/>
  <c r="H59" i="30"/>
  <c r="I59" i="30"/>
  <c r="J59" i="30"/>
  <c r="K59" i="30"/>
  <c r="L59" i="30"/>
  <c r="M59" i="30"/>
  <c r="N59" i="30"/>
  <c r="O59" i="30"/>
  <c r="P59" i="30"/>
  <c r="Q59" i="30"/>
  <c r="R59" i="30"/>
  <c r="S59" i="30"/>
  <c r="T59" i="30"/>
  <c r="U59" i="30"/>
  <c r="V59" i="30"/>
  <c r="B60" i="30"/>
  <c r="C60" i="30"/>
  <c r="D60" i="30"/>
  <c r="E60" i="30"/>
  <c r="F60" i="30"/>
  <c r="G60" i="30"/>
  <c r="H60" i="30"/>
  <c r="I60" i="30"/>
  <c r="J60" i="30"/>
  <c r="K60" i="30"/>
  <c r="L60" i="30"/>
  <c r="M60" i="30"/>
  <c r="N60" i="30"/>
  <c r="O60" i="30"/>
  <c r="P60" i="30"/>
  <c r="Q60" i="30"/>
  <c r="R60" i="30"/>
  <c r="S60" i="30"/>
  <c r="T60" i="30"/>
  <c r="U60" i="30"/>
  <c r="V60" i="30"/>
  <c r="C61" i="30"/>
  <c r="D61" i="30"/>
  <c r="E61" i="30"/>
  <c r="F61" i="30"/>
  <c r="G61" i="30"/>
  <c r="H61" i="30"/>
  <c r="I61" i="30"/>
  <c r="J61" i="30"/>
  <c r="K61" i="30"/>
  <c r="L61" i="30"/>
  <c r="M61" i="30"/>
  <c r="N61" i="30"/>
  <c r="O61" i="30"/>
  <c r="P61" i="30"/>
  <c r="Q61" i="30"/>
  <c r="R61" i="30"/>
  <c r="S61" i="30"/>
  <c r="T61" i="30"/>
  <c r="U61" i="30"/>
  <c r="V61" i="30"/>
  <c r="B62" i="30"/>
  <c r="C62" i="30"/>
  <c r="D62" i="30"/>
  <c r="E62" i="30"/>
  <c r="F62" i="30"/>
  <c r="G62" i="30"/>
  <c r="H62" i="30"/>
  <c r="I62" i="30"/>
  <c r="J62" i="30"/>
  <c r="K62" i="30"/>
  <c r="L62" i="30"/>
  <c r="M62" i="30"/>
  <c r="N62" i="30"/>
  <c r="O62" i="30"/>
  <c r="P62" i="30"/>
  <c r="Q62" i="30"/>
  <c r="R62" i="30"/>
  <c r="S62" i="30"/>
  <c r="T62" i="30"/>
  <c r="U62" i="30"/>
  <c r="V62" i="30"/>
  <c r="B63" i="30"/>
  <c r="C63" i="30"/>
  <c r="D63" i="30"/>
  <c r="E63" i="30"/>
  <c r="F63" i="30"/>
  <c r="G63" i="30"/>
  <c r="H63" i="30"/>
  <c r="I63" i="30"/>
  <c r="J63" i="30"/>
  <c r="K63" i="30"/>
  <c r="L63" i="30"/>
  <c r="M63" i="30"/>
  <c r="N63" i="30"/>
  <c r="O63" i="30"/>
  <c r="P63" i="30"/>
  <c r="Q63" i="30"/>
  <c r="R63" i="30"/>
  <c r="S63" i="30"/>
  <c r="T63" i="30"/>
  <c r="U63" i="30"/>
  <c r="V63" i="30"/>
  <c r="C64" i="30"/>
  <c r="D64" i="30"/>
  <c r="E64" i="30"/>
  <c r="F64" i="30"/>
  <c r="G64" i="30"/>
  <c r="H64" i="30"/>
  <c r="I64" i="30"/>
  <c r="J64" i="30"/>
  <c r="K64" i="30"/>
  <c r="L64" i="30"/>
  <c r="M64" i="30"/>
  <c r="N64" i="30"/>
  <c r="O64" i="30"/>
  <c r="P64" i="30"/>
  <c r="Q64" i="30"/>
  <c r="R64" i="30"/>
  <c r="S64" i="30"/>
  <c r="T64" i="30"/>
  <c r="U64" i="30"/>
  <c r="V64" i="30"/>
  <c r="A1" i="2"/>
  <c r="E3" i="25"/>
  <c r="A6" i="25"/>
  <c r="I6" i="25"/>
  <c r="J6" i="25"/>
  <c r="I7" i="25"/>
  <c r="J7" i="25"/>
  <c r="I8" i="25"/>
  <c r="J8" i="25"/>
  <c r="I9" i="25"/>
  <c r="J9" i="25"/>
  <c r="I10" i="25"/>
  <c r="J10" i="25"/>
  <c r="I11" i="25"/>
  <c r="J11" i="25"/>
  <c r="I12" i="25"/>
  <c r="J12" i="25"/>
  <c r="I13" i="25"/>
  <c r="J13" i="25"/>
  <c r="I14" i="25"/>
  <c r="J14" i="25"/>
  <c r="I15" i="25"/>
  <c r="J15" i="25"/>
  <c r="H16" i="25"/>
  <c r="I16" i="25"/>
  <c r="J16" i="25"/>
  <c r="H18" i="25"/>
  <c r="I18" i="25"/>
  <c r="J18" i="25"/>
  <c r="I19" i="25"/>
  <c r="J19" i="25"/>
  <c r="I20" i="25"/>
  <c r="J20" i="25"/>
  <c r="I21" i="25"/>
  <c r="J21" i="25"/>
  <c r="H22" i="25"/>
  <c r="I22" i="25"/>
  <c r="J22" i="25"/>
  <c r="A24" i="25"/>
  <c r="I24" i="25"/>
  <c r="I25" i="25"/>
  <c r="I26" i="25"/>
  <c r="H28" i="25"/>
  <c r="I28" i="25"/>
  <c r="J28" i="25"/>
  <c r="A30" i="25"/>
  <c r="I30" i="25"/>
  <c r="J30" i="25"/>
  <c r="A31" i="25"/>
  <c r="I31" i="25"/>
  <c r="J31" i="25"/>
  <c r="H32" i="25"/>
  <c r="I32" i="25"/>
  <c r="J32" i="25"/>
  <c r="I33" i="25"/>
  <c r="J33" i="25"/>
  <c r="H35" i="25"/>
  <c r="I35" i="25"/>
  <c r="J35" i="25"/>
  <c r="H37" i="25"/>
  <c r="I37" i="25"/>
  <c r="J37" i="25"/>
  <c r="I38" i="25"/>
  <c r="J38" i="25"/>
  <c r="I39" i="25"/>
  <c r="J39" i="25"/>
  <c r="H41" i="25"/>
  <c r="I41" i="25"/>
  <c r="J41" i="25"/>
  <c r="A43" i="25"/>
  <c r="I43" i="25"/>
  <c r="J43" i="25"/>
  <c r="A44" i="25"/>
  <c r="I44" i="25"/>
  <c r="J44" i="25"/>
  <c r="A45" i="25"/>
  <c r="H45" i="25"/>
  <c r="I45" i="25"/>
  <c r="J45" i="25"/>
  <c r="A46" i="25"/>
  <c r="I46" i="25"/>
  <c r="J46" i="25"/>
  <c r="I47" i="25"/>
  <c r="J47" i="25"/>
  <c r="A48" i="25"/>
  <c r="I48" i="25"/>
  <c r="J48" i="25"/>
  <c r="A49" i="25"/>
  <c r="I49" i="25"/>
  <c r="J49" i="25"/>
  <c r="A50" i="25"/>
  <c r="I50" i="25"/>
  <c r="J50" i="25"/>
  <c r="I53" i="25"/>
  <c r="J53" i="25"/>
  <c r="I54" i="25"/>
  <c r="J54" i="25"/>
  <c r="I55" i="25"/>
  <c r="J55" i="25"/>
  <c r="A57" i="25"/>
  <c r="I57" i="25"/>
  <c r="J57" i="25"/>
  <c r="H58" i="25"/>
  <c r="H59" i="25"/>
  <c r="I59" i="25"/>
  <c r="J59" i="25"/>
  <c r="I61" i="25"/>
  <c r="A62" i="25"/>
  <c r="I62" i="25"/>
  <c r="A63" i="25"/>
  <c r="H63" i="25"/>
  <c r="I63" i="25"/>
  <c r="A64" i="25"/>
  <c r="I64" i="25"/>
  <c r="A65" i="25"/>
  <c r="I65" i="25"/>
  <c r="H67" i="25"/>
  <c r="I67" i="25"/>
  <c r="J67" i="25"/>
  <c r="A69" i="25"/>
  <c r="H69" i="25"/>
  <c r="I69" i="25"/>
  <c r="A70" i="25"/>
  <c r="H70" i="25"/>
  <c r="I70" i="25"/>
  <c r="A71" i="25"/>
  <c r="H71" i="25"/>
  <c r="I71" i="25"/>
  <c r="H73" i="25"/>
  <c r="I73" i="25"/>
  <c r="J73" i="25"/>
  <c r="A75" i="25"/>
  <c r="I75" i="25"/>
  <c r="A76" i="25"/>
  <c r="I76" i="25"/>
  <c r="A77" i="25"/>
  <c r="I77" i="25"/>
  <c r="A78" i="25"/>
  <c r="I78" i="25"/>
  <c r="I79" i="25"/>
  <c r="H81" i="25"/>
  <c r="I81" i="25"/>
  <c r="J81" i="25"/>
  <c r="A83" i="25"/>
  <c r="H83" i="25"/>
  <c r="I83" i="25"/>
  <c r="J83" i="25"/>
  <c r="A84" i="25"/>
  <c r="I84" i="25"/>
  <c r="J84" i="25"/>
  <c r="A85" i="25"/>
  <c r="I85" i="25"/>
  <c r="J85" i="25"/>
  <c r="A86" i="25"/>
  <c r="I86" i="25"/>
  <c r="J86" i="25"/>
  <c r="A87" i="25"/>
  <c r="I87" i="25"/>
  <c r="J87" i="25"/>
  <c r="A88" i="25"/>
  <c r="I88" i="25"/>
  <c r="J88" i="25"/>
  <c r="A89" i="25"/>
  <c r="I89" i="25"/>
  <c r="J89" i="25"/>
  <c r="A90" i="25"/>
  <c r="I90" i="25"/>
  <c r="J90" i="25"/>
  <c r="A91" i="25"/>
  <c r="I91" i="25"/>
  <c r="J91" i="25"/>
  <c r="A92" i="25"/>
  <c r="I92" i="25"/>
  <c r="J92" i="25"/>
  <c r="A93" i="25"/>
  <c r="I93" i="25"/>
  <c r="J93" i="25"/>
  <c r="A94" i="25"/>
  <c r="I94" i="25"/>
  <c r="J94" i="25"/>
  <c r="A95" i="25"/>
  <c r="I95" i="25"/>
  <c r="J95" i="25"/>
  <c r="A96" i="25"/>
  <c r="I96" i="25"/>
  <c r="J96" i="25"/>
  <c r="I97" i="25"/>
  <c r="J97" i="25"/>
  <c r="H98" i="25"/>
  <c r="I98" i="25"/>
  <c r="J98" i="25"/>
  <c r="A100" i="25"/>
  <c r="I100" i="25"/>
  <c r="J100" i="25"/>
  <c r="A101" i="25"/>
  <c r="H101" i="25"/>
  <c r="I101" i="25"/>
  <c r="J101" i="25"/>
  <c r="H102" i="25"/>
  <c r="I102" i="25"/>
  <c r="J102" i="25"/>
  <c r="A103" i="25"/>
  <c r="I103" i="25"/>
  <c r="J103" i="25"/>
  <c r="A104" i="25"/>
  <c r="I104" i="25"/>
  <c r="J104" i="25"/>
  <c r="A105" i="25"/>
  <c r="H105" i="25"/>
  <c r="I105" i="25"/>
  <c r="J105" i="25"/>
  <c r="A106" i="25"/>
  <c r="I106" i="25"/>
  <c r="J106" i="25"/>
  <c r="A107" i="25"/>
  <c r="I107" i="25"/>
  <c r="J107" i="25"/>
  <c r="A108" i="25"/>
  <c r="I108" i="25"/>
  <c r="J108" i="25"/>
  <c r="A109" i="25"/>
  <c r="I109" i="25"/>
  <c r="J109" i="25"/>
  <c r="A110" i="25"/>
  <c r="I110" i="25"/>
  <c r="J110" i="25"/>
  <c r="I111" i="25"/>
  <c r="J111" i="25"/>
  <c r="I112" i="25"/>
  <c r="J112" i="25"/>
  <c r="A113" i="25"/>
  <c r="I113" i="25"/>
  <c r="J113" i="25"/>
  <c r="A114" i="25"/>
  <c r="I114" i="25"/>
  <c r="J114" i="25"/>
  <c r="H115" i="25"/>
  <c r="I115" i="25"/>
  <c r="J115" i="25"/>
  <c r="A116" i="25"/>
  <c r="H117" i="25"/>
  <c r="I117" i="25"/>
  <c r="J117" i="25"/>
  <c r="A119" i="25"/>
  <c r="I119" i="25"/>
  <c r="H120" i="25"/>
  <c r="I120" i="25"/>
  <c r="J120" i="25"/>
  <c r="A122" i="25"/>
  <c r="I122" i="25"/>
  <c r="A123" i="25"/>
  <c r="H124" i="25"/>
  <c r="I124" i="25"/>
  <c r="J124" i="25"/>
  <c r="H126" i="25"/>
  <c r="I126" i="25"/>
  <c r="J126" i="25"/>
  <c r="H127" i="25"/>
  <c r="I127" i="25"/>
  <c r="J127" i="25"/>
  <c r="I128" i="25"/>
  <c r="J128" i="25"/>
  <c r="I129" i="25"/>
  <c r="J129" i="25"/>
  <c r="H131" i="25"/>
  <c r="I131" i="25"/>
  <c r="J131" i="25"/>
  <c r="A133" i="25"/>
  <c r="I133" i="25"/>
  <c r="J133" i="25"/>
  <c r="A134" i="25"/>
  <c r="I134" i="25"/>
  <c r="J134" i="25"/>
  <c r="A135" i="25"/>
  <c r="I135" i="25"/>
  <c r="J135" i="25"/>
  <c r="A136" i="25"/>
  <c r="H136" i="25"/>
  <c r="I136" i="25"/>
  <c r="J136" i="25"/>
  <c r="A137" i="25"/>
  <c r="I137" i="25"/>
  <c r="J137" i="25"/>
  <c r="A138" i="25"/>
  <c r="I138" i="25"/>
  <c r="J138" i="25"/>
  <c r="A139" i="25"/>
  <c r="I139" i="25"/>
  <c r="J139" i="25"/>
  <c r="A140" i="25"/>
  <c r="I140" i="25"/>
  <c r="J140" i="25"/>
  <c r="A141" i="25"/>
  <c r="I141" i="25"/>
  <c r="J141" i="25"/>
  <c r="A142" i="25"/>
  <c r="I142" i="25"/>
  <c r="J142" i="25"/>
  <c r="A143" i="25"/>
  <c r="H143" i="25"/>
  <c r="I143" i="25"/>
  <c r="J143" i="25"/>
  <c r="A144" i="25"/>
  <c r="I144" i="25"/>
  <c r="J144" i="25"/>
  <c r="A145" i="25"/>
  <c r="I145" i="25"/>
  <c r="J145" i="25"/>
  <c r="A146" i="25"/>
  <c r="I146" i="25"/>
  <c r="J146" i="25"/>
  <c r="A147" i="25"/>
  <c r="I147" i="25"/>
  <c r="J147" i="25"/>
  <c r="I148" i="25"/>
  <c r="J148" i="25"/>
  <c r="I149" i="25"/>
  <c r="J149" i="25"/>
  <c r="I150" i="25"/>
  <c r="J150" i="25"/>
  <c r="I151" i="25"/>
  <c r="J151" i="25"/>
  <c r="A152" i="25"/>
  <c r="I152" i="25"/>
  <c r="J152" i="25"/>
  <c r="A153" i="25"/>
  <c r="I153" i="25"/>
  <c r="J153" i="25"/>
  <c r="A154" i="25"/>
  <c r="I154" i="25"/>
  <c r="J154" i="25"/>
  <c r="A155" i="25"/>
  <c r="I155" i="25"/>
  <c r="J155" i="25"/>
  <c r="A156" i="25"/>
  <c r="I156" i="25"/>
  <c r="J156" i="25"/>
  <c r="A157" i="25"/>
  <c r="I157" i="25"/>
  <c r="J157" i="25"/>
  <c r="A158" i="25"/>
  <c r="I158" i="25"/>
  <c r="J158" i="25"/>
  <c r="A159" i="25"/>
  <c r="I159" i="25"/>
  <c r="J159" i="25"/>
  <c r="A160" i="25"/>
  <c r="I160" i="25"/>
  <c r="J160" i="25"/>
  <c r="I161" i="25"/>
  <c r="J161" i="25"/>
  <c r="A162" i="25"/>
  <c r="I162" i="25"/>
  <c r="J162" i="25"/>
  <c r="I163" i="25"/>
  <c r="J163" i="25"/>
  <c r="I164" i="25"/>
  <c r="J164" i="25"/>
  <c r="H165" i="25"/>
  <c r="I165" i="25"/>
  <c r="J165" i="25"/>
  <c r="H167" i="25"/>
  <c r="I167" i="25"/>
  <c r="J167" i="25"/>
  <c r="A169" i="25"/>
  <c r="I169" i="25"/>
  <c r="J169" i="25"/>
  <c r="I170" i="25"/>
  <c r="J170" i="25"/>
  <c r="H171" i="25"/>
  <c r="I171" i="25"/>
  <c r="J171" i="25"/>
  <c r="I172" i="25"/>
  <c r="J172" i="25"/>
  <c r="I173" i="25"/>
  <c r="J173" i="25"/>
  <c r="I174" i="25"/>
  <c r="J174" i="25"/>
  <c r="I175" i="25"/>
  <c r="J175" i="25"/>
  <c r="I176" i="25"/>
  <c r="J176" i="25"/>
  <c r="I177" i="25"/>
  <c r="J177" i="25"/>
  <c r="I178" i="25"/>
  <c r="J178" i="25"/>
  <c r="H179" i="25"/>
  <c r="I179" i="25"/>
  <c r="J179" i="25"/>
  <c r="H181" i="25"/>
  <c r="I181" i="25"/>
  <c r="J181" i="25"/>
  <c r="A183" i="25"/>
  <c r="I183" i="25"/>
  <c r="J183" i="25"/>
  <c r="A184" i="25"/>
  <c r="I184" i="25"/>
  <c r="J184" i="25"/>
  <c r="I185" i="25"/>
  <c r="J185" i="25"/>
  <c r="A186" i="25"/>
  <c r="I186" i="25"/>
  <c r="J186" i="25"/>
  <c r="I187" i="25"/>
  <c r="J187" i="25"/>
  <c r="I188" i="25"/>
  <c r="J188" i="25"/>
  <c r="A189" i="25"/>
  <c r="I189" i="25"/>
  <c r="J189" i="25"/>
  <c r="I190" i="25"/>
  <c r="J190" i="25"/>
  <c r="I191" i="25"/>
  <c r="J191" i="25"/>
  <c r="I192" i="25"/>
  <c r="J192" i="25"/>
  <c r="I193" i="25"/>
  <c r="J193" i="25"/>
  <c r="I194" i="25"/>
  <c r="J194" i="25"/>
  <c r="A195" i="25"/>
  <c r="I195" i="25"/>
  <c r="J195" i="25"/>
  <c r="I196" i="25"/>
  <c r="J196" i="25"/>
  <c r="I197" i="25"/>
  <c r="J197" i="25"/>
  <c r="H199" i="25"/>
  <c r="I199" i="25"/>
  <c r="J199" i="25"/>
  <c r="H201" i="25"/>
  <c r="I201" i="25"/>
  <c r="J201" i="25"/>
  <c r="A203" i="25"/>
  <c r="I203" i="25"/>
  <c r="J203" i="25"/>
  <c r="A204" i="25"/>
  <c r="I204" i="25"/>
  <c r="J204" i="25"/>
  <c r="A205" i="25"/>
  <c r="I205" i="25"/>
  <c r="J205" i="25"/>
  <c r="A206" i="25"/>
  <c r="I206" i="25"/>
  <c r="J206" i="25"/>
  <c r="H207" i="25"/>
  <c r="I207" i="25"/>
  <c r="J207" i="25"/>
  <c r="H209" i="25"/>
  <c r="I209" i="25"/>
  <c r="J209" i="25"/>
  <c r="A211" i="25"/>
  <c r="I211" i="25"/>
  <c r="J211" i="25"/>
  <c r="I212" i="25"/>
  <c r="J212" i="25"/>
  <c r="I213" i="25"/>
  <c r="J213" i="25"/>
  <c r="I214" i="25"/>
  <c r="J214" i="25"/>
  <c r="H215" i="25"/>
  <c r="I215" i="25"/>
  <c r="J215" i="25"/>
  <c r="H217" i="25"/>
  <c r="I217" i="25"/>
  <c r="J217" i="25"/>
  <c r="A219" i="25"/>
  <c r="I219" i="25"/>
  <c r="J219" i="25"/>
  <c r="A220" i="25"/>
  <c r="I220" i="25"/>
  <c r="J220" i="25"/>
  <c r="A221" i="25"/>
  <c r="I221" i="25"/>
  <c r="J221" i="25"/>
  <c r="A222" i="25"/>
  <c r="I222" i="25"/>
  <c r="J222" i="25"/>
  <c r="I223" i="25"/>
  <c r="J223" i="25"/>
  <c r="A224" i="25"/>
  <c r="I224" i="25"/>
  <c r="J224" i="25"/>
  <c r="A225" i="25"/>
  <c r="I225" i="25"/>
  <c r="J225" i="25"/>
  <c r="A226" i="25"/>
  <c r="I226" i="25"/>
  <c r="J226" i="25"/>
  <c r="I227" i="25"/>
  <c r="J227" i="25"/>
  <c r="I228" i="25"/>
  <c r="J228" i="25"/>
  <c r="I229" i="25"/>
  <c r="J229" i="25"/>
  <c r="I230" i="25"/>
  <c r="J230" i="25"/>
  <c r="A231" i="25"/>
  <c r="I231" i="25"/>
  <c r="J231" i="25"/>
  <c r="I232" i="25"/>
  <c r="J232" i="25"/>
  <c r="I233" i="25"/>
  <c r="J233" i="25"/>
  <c r="I234" i="25"/>
  <c r="J234" i="25"/>
  <c r="I235" i="25"/>
  <c r="J235" i="25"/>
  <c r="A236" i="25"/>
  <c r="H236" i="25"/>
  <c r="I236" i="25"/>
  <c r="J236" i="25"/>
  <c r="A237" i="25"/>
  <c r="I237" i="25"/>
  <c r="J237" i="25"/>
  <c r="I238" i="25"/>
  <c r="J238" i="25"/>
  <c r="I239" i="25"/>
  <c r="J239" i="25"/>
  <c r="I240" i="25"/>
  <c r="J240" i="25"/>
  <c r="I241" i="25"/>
  <c r="J241" i="25"/>
  <c r="A242" i="25"/>
  <c r="I242" i="25"/>
  <c r="J242" i="25"/>
  <c r="I243" i="25"/>
  <c r="J243" i="25"/>
  <c r="I244" i="25"/>
  <c r="J244" i="25"/>
  <c r="I245" i="25"/>
  <c r="J245" i="25"/>
  <c r="I246" i="25"/>
  <c r="J246" i="25"/>
  <c r="I247" i="25"/>
  <c r="J247" i="25"/>
  <c r="A248" i="25"/>
  <c r="I248" i="25"/>
  <c r="J248" i="25"/>
  <c r="I249" i="25"/>
  <c r="J249" i="25"/>
  <c r="I250" i="25"/>
  <c r="J250" i="25"/>
  <c r="I251" i="25"/>
  <c r="J251" i="25"/>
  <c r="I252" i="25"/>
  <c r="J252" i="25"/>
  <c r="I253" i="25"/>
  <c r="J253" i="25"/>
  <c r="I254" i="25"/>
  <c r="J254" i="25"/>
  <c r="I255" i="25"/>
  <c r="J255" i="25"/>
  <c r="I256" i="25"/>
  <c r="J256" i="25"/>
  <c r="I257" i="25"/>
  <c r="J257" i="25"/>
  <c r="I258" i="25"/>
  <c r="J258" i="25"/>
  <c r="I259" i="25"/>
  <c r="J259" i="25"/>
  <c r="I260" i="25"/>
  <c r="J260" i="25"/>
  <c r="I261" i="25"/>
  <c r="J261" i="25"/>
  <c r="A262" i="25"/>
  <c r="I262" i="25"/>
  <c r="J262" i="25"/>
  <c r="I263" i="25"/>
  <c r="J263" i="25"/>
  <c r="I264" i="25"/>
  <c r="J264" i="25"/>
  <c r="H265" i="25"/>
  <c r="I265" i="25"/>
  <c r="J265" i="25"/>
  <c r="H267" i="25"/>
  <c r="I267" i="25"/>
  <c r="I269" i="25"/>
  <c r="J269" i="25"/>
  <c r="I270" i="25"/>
  <c r="J270" i="25"/>
  <c r="H271" i="25"/>
  <c r="I271" i="25"/>
  <c r="J271" i="25"/>
  <c r="H273" i="25"/>
  <c r="I273" i="25"/>
  <c r="J273" i="25"/>
  <c r="I275" i="25"/>
  <c r="J275" i="25"/>
  <c r="I276" i="25"/>
  <c r="J276" i="25"/>
  <c r="I277" i="25"/>
  <c r="J277" i="25"/>
  <c r="H279" i="25"/>
  <c r="I279" i="25"/>
  <c r="J279" i="25"/>
  <c r="I281" i="25"/>
  <c r="J281" i="25"/>
  <c r="I282" i="25"/>
  <c r="J282" i="25"/>
  <c r="I283" i="25"/>
  <c r="J283" i="25"/>
  <c r="I285" i="25"/>
  <c r="J285" i="25"/>
  <c r="I287" i="25"/>
  <c r="J287" i="25"/>
  <c r="H289" i="25"/>
  <c r="I289" i="25"/>
  <c r="J289" i="25"/>
  <c r="I291" i="25"/>
  <c r="J291" i="25"/>
  <c r="I293" i="25"/>
  <c r="J293" i="25"/>
  <c r="I295" i="25"/>
  <c r="J295" i="25"/>
  <c r="I296" i="25"/>
  <c r="J296" i="25"/>
  <c r="H297" i="25"/>
  <c r="I297" i="25"/>
  <c r="J297" i="25"/>
  <c r="I298" i="25"/>
  <c r="J298" i="25"/>
  <c r="H299" i="25"/>
  <c r="I299" i="25"/>
  <c r="J299" i="25"/>
  <c r="A1" i="20"/>
  <c r="D6" i="20"/>
  <c r="D8" i="20"/>
  <c r="D11" i="20"/>
  <c r="D12" i="20"/>
  <c r="D13" i="20"/>
  <c r="D14" i="20"/>
  <c r="D15" i="20"/>
  <c r="D16" i="20"/>
  <c r="D17" i="20"/>
  <c r="D18" i="20"/>
  <c r="D19" i="20"/>
  <c r="D20" i="20"/>
  <c r="D21" i="20"/>
  <c r="D22" i="20"/>
  <c r="D24" i="20"/>
  <c r="D28" i="20"/>
  <c r="D29" i="20"/>
  <c r="D30" i="20"/>
  <c r="D31" i="20"/>
  <c r="D32" i="20"/>
  <c r="D33" i="20"/>
  <c r="D34" i="20"/>
  <c r="D36" i="20"/>
  <c r="D38" i="20"/>
  <c r="D45" i="20"/>
  <c r="D47" i="20"/>
  <c r="D50" i="20"/>
  <c r="D51" i="20"/>
  <c r="A1" i="21"/>
  <c r="F5" i="21"/>
  <c r="J5" i="21"/>
  <c r="N5" i="21"/>
  <c r="R5" i="21"/>
  <c r="V5" i="21"/>
  <c r="N11" i="21"/>
  <c r="N12" i="21"/>
  <c r="A1" i="22"/>
  <c r="E8" i="22"/>
  <c r="F8" i="22"/>
  <c r="F9" i="22"/>
  <c r="F10" i="22"/>
  <c r="E11" i="22"/>
  <c r="F11" i="22"/>
  <c r="E12" i="22"/>
  <c r="F12" i="22"/>
  <c r="B13" i="22"/>
  <c r="E13" i="22"/>
  <c r="F13" i="22"/>
  <c r="B14" i="22"/>
  <c r="E14" i="22"/>
  <c r="F14" i="22"/>
  <c r="F15" i="22"/>
  <c r="B19" i="22"/>
  <c r="F19" i="22"/>
  <c r="A3" i="29"/>
  <c r="D6" i="29"/>
  <c r="D7" i="29"/>
  <c r="D8" i="29"/>
  <c r="D9" i="29"/>
  <c r="D13" i="29"/>
  <c r="D15" i="29"/>
  <c r="D16" i="29"/>
  <c r="D18" i="29"/>
  <c r="D19" i="29"/>
  <c r="D22" i="29"/>
  <c r="D25" i="29"/>
  <c r="D26" i="29"/>
  <c r="D30" i="29"/>
  <c r="D35" i="29"/>
  <c r="D41" i="29"/>
  <c r="D47" i="29"/>
  <c r="D50" i="29"/>
  <c r="D52" i="29"/>
  <c r="D61" i="29"/>
  <c r="D65" i="29"/>
  <c r="D66" i="29"/>
  <c r="D89" i="29"/>
  <c r="D90" i="29"/>
  <c r="D92" i="29"/>
  <c r="D95" i="29"/>
  <c r="D97" i="29"/>
  <c r="D101" i="29"/>
  <c r="D109" i="29"/>
  <c r="D111" i="29"/>
  <c r="D113" i="29"/>
  <c r="D114" i="29"/>
  <c r="D118" i="29"/>
  <c r="D122" i="29"/>
  <c r="D128" i="29"/>
  <c r="D132" i="29"/>
  <c r="D134" i="29"/>
  <c r="D136" i="29"/>
  <c r="D142" i="29"/>
  <c r="D144" i="29"/>
  <c r="D150" i="29"/>
  <c r="D152" i="29"/>
  <c r="D154" i="29"/>
  <c r="F154" i="29"/>
  <c r="D160" i="29"/>
  <c r="D161" i="29"/>
  <c r="D163" i="29"/>
  <c r="D169" i="29"/>
  <c r="D171" i="29"/>
  <c r="D173" i="29"/>
  <c r="D180" i="29"/>
  <c r="D182" i="29"/>
  <c r="D184" i="29"/>
  <c r="D185" i="29"/>
  <c r="D190" i="29"/>
  <c r="D192" i="29"/>
  <c r="F194" i="29"/>
  <c r="D200" i="29"/>
  <c r="D201" i="29"/>
  <c r="D203" i="29"/>
  <c r="D212" i="29"/>
  <c r="D214" i="29"/>
  <c r="D222" i="29"/>
  <c r="D224" i="29"/>
  <c r="D232" i="29"/>
  <c r="D234" i="29"/>
  <c r="D251" i="29"/>
  <c r="D253" i="29"/>
  <c r="F253" i="29"/>
  <c r="D262" i="29"/>
  <c r="D265" i="29"/>
  <c r="D268" i="29"/>
  <c r="D276" i="29"/>
  <c r="D280" i="29"/>
  <c r="D282" i="29"/>
  <c r="D285" i="29"/>
  <c r="D288" i="29"/>
  <c r="D292" i="29"/>
  <c r="D299" i="29"/>
  <c r="A1" i="26"/>
  <c r="D8" i="26"/>
  <c r="E8" i="26"/>
  <c r="F8" i="26"/>
  <c r="G8" i="26"/>
  <c r="B11" i="26"/>
  <c r="D11" i="26"/>
  <c r="E11" i="26"/>
  <c r="F11" i="26"/>
  <c r="G11" i="26"/>
  <c r="B12" i="26"/>
  <c r="D12" i="26"/>
  <c r="E12" i="26"/>
  <c r="F12" i="26"/>
  <c r="G12" i="26"/>
  <c r="B13" i="26"/>
  <c r="D13" i="26"/>
  <c r="E13" i="26"/>
  <c r="F13" i="26"/>
  <c r="G13" i="26"/>
  <c r="B14" i="26"/>
  <c r="D14" i="26"/>
  <c r="E14" i="26"/>
  <c r="F14" i="26"/>
  <c r="G14" i="26"/>
  <c r="B15" i="26"/>
  <c r="D15" i="26"/>
  <c r="E15" i="26"/>
  <c r="F15" i="26"/>
  <c r="G15" i="26"/>
  <c r="B16" i="26"/>
  <c r="D16" i="26"/>
  <c r="E16" i="26"/>
  <c r="F16" i="26"/>
  <c r="G16" i="26"/>
  <c r="B17" i="26"/>
  <c r="D17" i="26"/>
  <c r="E17" i="26"/>
  <c r="F17" i="26"/>
  <c r="G17" i="26"/>
  <c r="B18" i="26"/>
  <c r="D18" i="26"/>
  <c r="E18" i="26"/>
  <c r="F18" i="26"/>
  <c r="G18" i="26"/>
  <c r="B19" i="26"/>
  <c r="D19" i="26"/>
  <c r="E19" i="26"/>
  <c r="F19" i="26"/>
  <c r="G19" i="26"/>
  <c r="B20" i="26"/>
  <c r="D20" i="26"/>
  <c r="F20" i="26"/>
  <c r="G20" i="26"/>
  <c r="D22" i="26"/>
  <c r="E22" i="26"/>
  <c r="F22" i="26"/>
  <c r="G22" i="26"/>
  <c r="D24" i="26"/>
  <c r="E24" i="26"/>
  <c r="F24" i="26"/>
  <c r="G24" i="26"/>
  <c r="B28" i="26"/>
  <c r="D28" i="26"/>
  <c r="E28" i="26"/>
  <c r="F28" i="26"/>
  <c r="G28" i="26"/>
  <c r="B29" i="26"/>
  <c r="D29" i="26"/>
  <c r="E29" i="26"/>
  <c r="F29" i="26"/>
  <c r="G29" i="26"/>
  <c r="B30" i="26"/>
  <c r="D30" i="26"/>
  <c r="E30" i="26"/>
  <c r="F30" i="26"/>
  <c r="G30" i="26"/>
  <c r="B31" i="26"/>
  <c r="D31" i="26"/>
  <c r="E31" i="26"/>
  <c r="F31" i="26"/>
  <c r="G31" i="26"/>
  <c r="B32" i="26"/>
  <c r="D32" i="26"/>
  <c r="E32" i="26"/>
  <c r="F32" i="26"/>
  <c r="G32" i="26"/>
  <c r="B33" i="26"/>
  <c r="D33" i="26"/>
  <c r="E33" i="26"/>
  <c r="F33" i="26"/>
  <c r="G33" i="26"/>
  <c r="B34" i="26"/>
  <c r="D34" i="26"/>
  <c r="E34" i="26"/>
  <c r="F34" i="26"/>
  <c r="G34" i="26"/>
  <c r="B35" i="26"/>
  <c r="D35" i="26"/>
  <c r="E35" i="26"/>
  <c r="F35" i="26"/>
  <c r="G35" i="26"/>
  <c r="B36" i="26"/>
  <c r="D36" i="26"/>
  <c r="E36" i="26"/>
  <c r="F36" i="26"/>
  <c r="G36" i="26"/>
  <c r="B37" i="26"/>
  <c r="D37" i="26"/>
  <c r="E37" i="26"/>
  <c r="F37" i="26"/>
  <c r="G37" i="26"/>
  <c r="B38" i="26"/>
  <c r="D38" i="26"/>
  <c r="E38" i="26"/>
  <c r="F38" i="26"/>
  <c r="G38" i="26"/>
  <c r="D40" i="26"/>
  <c r="E40" i="26"/>
  <c r="F40" i="26"/>
  <c r="G40" i="26"/>
  <c r="D42" i="26"/>
  <c r="E42" i="26"/>
  <c r="F42" i="26"/>
  <c r="G42" i="26"/>
  <c r="D44" i="26"/>
  <c r="E44" i="26"/>
  <c r="F44" i="26"/>
  <c r="G44" i="26"/>
  <c r="D47" i="26"/>
  <c r="D48" i="26"/>
  <c r="E52" i="26"/>
  <c r="E54" i="26"/>
  <c r="F54" i="26"/>
  <c r="G54" i="26"/>
  <c r="D56" i="26"/>
  <c r="E56" i="26"/>
  <c r="F56" i="26"/>
  <c r="G56" i="26"/>
  <c r="A1" i="28"/>
  <c r="B11" i="28"/>
  <c r="B12" i="28"/>
  <c r="B13" i="28"/>
  <c r="B14" i="28"/>
  <c r="B15" i="28"/>
  <c r="B16" i="28"/>
  <c r="B17" i="28"/>
  <c r="C28" i="28"/>
  <c r="D28" i="28"/>
  <c r="E28" i="28"/>
  <c r="F28" i="28"/>
  <c r="G28" i="28"/>
  <c r="H28" i="28"/>
  <c r="I28" i="28"/>
  <c r="J28" i="28"/>
  <c r="K28" i="28"/>
  <c r="L28" i="28"/>
  <c r="O28" i="28"/>
  <c r="P28" i="28"/>
  <c r="S28" i="28"/>
  <c r="B29" i="28"/>
  <c r="C29" i="28"/>
  <c r="D29" i="28"/>
  <c r="E29" i="28"/>
  <c r="F29" i="28"/>
  <c r="G29" i="28"/>
  <c r="H29" i="28"/>
  <c r="I29" i="28"/>
  <c r="K29" i="28"/>
  <c r="L29" i="28"/>
  <c r="O29" i="28"/>
  <c r="P29" i="28"/>
  <c r="S29" i="28"/>
  <c r="C30" i="28"/>
  <c r="D30" i="28"/>
  <c r="E30" i="28"/>
  <c r="F30" i="28"/>
  <c r="G30" i="28"/>
  <c r="H30" i="28"/>
  <c r="I30" i="28"/>
  <c r="K30" i="28"/>
  <c r="L30" i="28"/>
  <c r="O30" i="28"/>
  <c r="P30" i="28"/>
  <c r="S30" i="28"/>
  <c r="C31" i="28"/>
  <c r="D31" i="28"/>
  <c r="E31" i="28"/>
  <c r="F31" i="28"/>
  <c r="G31" i="28"/>
  <c r="H31" i="28"/>
  <c r="I31" i="28"/>
  <c r="J31" i="28"/>
  <c r="K31" i="28"/>
  <c r="L31" i="28"/>
  <c r="O31" i="28"/>
  <c r="P31" i="28"/>
  <c r="S31" i="28"/>
  <c r="B33" i="28"/>
  <c r="C33" i="28"/>
  <c r="D33" i="28"/>
  <c r="E33" i="28"/>
  <c r="F33" i="28"/>
  <c r="G33" i="28"/>
  <c r="H33" i="28"/>
  <c r="I33" i="28"/>
  <c r="J33" i="28"/>
  <c r="K33" i="28"/>
  <c r="L33" i="28"/>
  <c r="P33" i="28"/>
  <c r="S33" i="28"/>
  <c r="A34" i="28"/>
  <c r="C34" i="28"/>
  <c r="D34" i="28"/>
  <c r="E34" i="28"/>
  <c r="F34" i="28"/>
  <c r="G34" i="28"/>
  <c r="H34" i="28"/>
  <c r="I34" i="28"/>
  <c r="J34" i="28"/>
  <c r="K34" i="28"/>
  <c r="L34" i="28"/>
  <c r="O34" i="28"/>
  <c r="P34" i="28"/>
  <c r="S34" i="28"/>
  <c r="A35" i="28"/>
  <c r="C35" i="28"/>
  <c r="D35" i="28"/>
  <c r="E35" i="28"/>
  <c r="F35" i="28"/>
  <c r="G35" i="28"/>
  <c r="H35" i="28"/>
  <c r="I35" i="28"/>
  <c r="J35" i="28"/>
  <c r="K35" i="28"/>
  <c r="L35" i="28"/>
  <c r="O35" i="28"/>
  <c r="P35" i="28"/>
  <c r="S35" i="28"/>
  <c r="C44" i="28"/>
  <c r="D44" i="28"/>
  <c r="E44" i="28"/>
  <c r="G44" i="28"/>
  <c r="H44" i="28"/>
  <c r="A46" i="28"/>
  <c r="B46" i="28"/>
  <c r="C46" i="28"/>
  <c r="D46" i="28"/>
  <c r="E46" i="28"/>
  <c r="F46" i="28"/>
  <c r="G46" i="28"/>
  <c r="H46" i="28"/>
  <c r="K46" i="28"/>
  <c r="P46" i="28"/>
  <c r="S46" i="28"/>
  <c r="A47" i="28"/>
  <c r="B47" i="28"/>
  <c r="C47" i="28"/>
  <c r="D47" i="28"/>
  <c r="E47" i="28"/>
  <c r="F47" i="28"/>
  <c r="G47" i="28"/>
  <c r="H47" i="28"/>
  <c r="K47" i="28"/>
  <c r="P47" i="28"/>
  <c r="S47" i="28"/>
  <c r="A48" i="28"/>
  <c r="B48" i="28"/>
  <c r="C48" i="28"/>
  <c r="D48" i="28"/>
  <c r="E48" i="28"/>
  <c r="F48" i="28"/>
  <c r="G48" i="28"/>
  <c r="H48" i="28"/>
  <c r="K48" i="28"/>
  <c r="P48" i="28"/>
  <c r="S48" i="28"/>
  <c r="A49" i="28"/>
  <c r="B49" i="28"/>
  <c r="C49" i="28"/>
  <c r="D49" i="28"/>
  <c r="E49" i="28"/>
  <c r="F49" i="28"/>
  <c r="G49" i="28"/>
  <c r="H49" i="28"/>
  <c r="K49" i="28"/>
  <c r="P49" i="28"/>
  <c r="S49" i="28"/>
  <c r="A51" i="28"/>
  <c r="B51" i="28"/>
  <c r="C51" i="28"/>
  <c r="D51" i="28"/>
  <c r="E51" i="28"/>
  <c r="F51" i="28"/>
  <c r="G51" i="28"/>
  <c r="H51" i="28"/>
  <c r="K51" i="28"/>
  <c r="P51" i="28"/>
  <c r="S51" i="28"/>
  <c r="A52" i="28"/>
  <c r="B52" i="28"/>
  <c r="C52" i="28"/>
  <c r="D52" i="28"/>
  <c r="E52" i="28"/>
  <c r="F52" i="28"/>
  <c r="G52" i="28"/>
  <c r="H52" i="28"/>
  <c r="K52" i="28"/>
  <c r="O52" i="28"/>
  <c r="P52" i="28"/>
  <c r="R52" i="28"/>
  <c r="S52" i="28"/>
  <c r="A53" i="28"/>
  <c r="B53" i="28"/>
  <c r="C53" i="28"/>
  <c r="D53" i="28"/>
  <c r="E53" i="28"/>
  <c r="F53" i="28"/>
  <c r="G53" i="28"/>
  <c r="H53" i="28"/>
  <c r="K53" i="28"/>
  <c r="O53" i="28"/>
  <c r="P53" i="28"/>
  <c r="R53" i="28"/>
  <c r="S53" i="28"/>
  <c r="P55" i="28"/>
  <c r="S55" i="28"/>
  <c r="A1" i="27"/>
  <c r="A11" i="27"/>
  <c r="D12" i="27"/>
  <c r="E12" i="27"/>
  <c r="F12" i="27"/>
  <c r="G12" i="27"/>
  <c r="H12" i="27"/>
  <c r="D13" i="27"/>
  <c r="E13" i="27"/>
  <c r="F13" i="27"/>
  <c r="G13" i="27"/>
  <c r="H13" i="27"/>
  <c r="A14" i="27"/>
  <c r="D15" i="27"/>
  <c r="E15" i="27"/>
  <c r="F15" i="27"/>
  <c r="G15" i="27"/>
  <c r="H15" i="27"/>
  <c r="D16" i="27"/>
  <c r="E16" i="27"/>
  <c r="F16" i="27"/>
  <c r="G16" i="27"/>
  <c r="H16" i="27"/>
  <c r="B20" i="27"/>
  <c r="F20" i="27"/>
  <c r="G20" i="27"/>
  <c r="H20" i="27"/>
  <c r="D15" i="17"/>
  <c r="A1" i="24"/>
  <c r="A1" i="19"/>
  <c r="E8" i="19"/>
  <c r="E9" i="19"/>
  <c r="E10" i="19"/>
  <c r="E11" i="19"/>
  <c r="E13" i="19"/>
  <c r="G13" i="19"/>
  <c r="E19" i="19"/>
  <c r="E21" i="19"/>
  <c r="G21" i="19"/>
  <c r="E23" i="19"/>
  <c r="G23" i="19"/>
  <c r="E26" i="19"/>
  <c r="G26" i="19"/>
  <c r="E32" i="19"/>
  <c r="F32" i="19"/>
  <c r="G32" i="19"/>
  <c r="H32" i="19"/>
  <c r="I32" i="19"/>
  <c r="K32" i="19"/>
  <c r="E33" i="19"/>
  <c r="F33" i="19"/>
  <c r="G33" i="19"/>
  <c r="H33" i="19"/>
  <c r="I33" i="19"/>
  <c r="K33" i="19"/>
  <c r="E34" i="19"/>
  <c r="F34" i="19"/>
  <c r="G34" i="19"/>
  <c r="H34" i="19"/>
  <c r="J34" i="19"/>
  <c r="L34" i="19"/>
  <c r="E35" i="19"/>
  <c r="F35" i="19"/>
  <c r="G35" i="19"/>
  <c r="H35" i="19"/>
  <c r="I35" i="19"/>
  <c r="J35" i="19"/>
  <c r="K35" i="19"/>
  <c r="L35" i="19"/>
  <c r="E36" i="19"/>
  <c r="F36" i="19"/>
  <c r="G36" i="19"/>
  <c r="H36" i="19"/>
  <c r="I36" i="19"/>
  <c r="K36" i="19"/>
  <c r="E38" i="19"/>
  <c r="F38" i="19"/>
  <c r="G38" i="19"/>
  <c r="H38" i="19"/>
  <c r="I38" i="19"/>
  <c r="J38" i="19"/>
  <c r="K38" i="19"/>
  <c r="L38" i="19"/>
  <c r="E40" i="19"/>
  <c r="F40" i="19"/>
  <c r="G40" i="19"/>
  <c r="H40" i="19"/>
  <c r="I40" i="19"/>
  <c r="K40" i="19"/>
  <c r="H42" i="19"/>
  <c r="H43" i="19"/>
  <c r="E45" i="19"/>
  <c r="F45" i="19"/>
  <c r="G45" i="19"/>
  <c r="H45" i="19"/>
  <c r="E52" i="19"/>
  <c r="F52" i="19"/>
  <c r="G52" i="19"/>
  <c r="H52" i="19"/>
  <c r="A1" i="16"/>
  <c r="A1" i="23"/>
  <c r="H7" i="23"/>
  <c r="H8" i="23"/>
  <c r="H9" i="23"/>
  <c r="H10" i="23"/>
  <c r="G11" i="23"/>
  <c r="H11" i="23"/>
  <c r="I11" i="23"/>
  <c r="H14" i="23"/>
  <c r="I14" i="23"/>
  <c r="H15" i="23"/>
  <c r="I15" i="23"/>
  <c r="H16" i="23"/>
  <c r="I16" i="23"/>
  <c r="G17" i="23"/>
  <c r="H17" i="23"/>
  <c r="I17" i="23"/>
  <c r="H20" i="23"/>
  <c r="G21" i="23"/>
  <c r="H21" i="23"/>
  <c r="H24" i="23"/>
  <c r="I24" i="23"/>
  <c r="H25" i="23"/>
  <c r="I25" i="23"/>
  <c r="H26" i="23"/>
  <c r="I26" i="23"/>
  <c r="G27" i="23"/>
  <c r="H27" i="23"/>
  <c r="I27" i="23"/>
  <c r="H30" i="23"/>
  <c r="I30" i="23"/>
  <c r="G31" i="23"/>
  <c r="H31" i="23"/>
  <c r="I31" i="23"/>
  <c r="H32" i="23"/>
  <c r="I32" i="23"/>
  <c r="G33" i="23"/>
  <c r="H33" i="23"/>
  <c r="I33" i="23"/>
  <c r="H35" i="23"/>
  <c r="I35" i="23"/>
  <c r="H36" i="23"/>
  <c r="I36" i="23"/>
  <c r="H37" i="23"/>
  <c r="I37" i="23"/>
  <c r="H38" i="23"/>
  <c r="I38" i="23"/>
  <c r="G39" i="23"/>
  <c r="H39" i="23"/>
  <c r="I39" i="23"/>
  <c r="H41" i="23"/>
  <c r="I41" i="23"/>
  <c r="I44" i="23"/>
  <c r="I45" i="23"/>
  <c r="I49" i="23"/>
  <c r="I51" i="23"/>
  <c r="I52" i="23"/>
  <c r="I53" i="23"/>
</calcChain>
</file>

<file path=xl/comments1.xml><?xml version="1.0" encoding="utf-8"?>
<comments xmlns="http://schemas.openxmlformats.org/spreadsheetml/2006/main">
  <authors>
    <author>EI</author>
  </authors>
  <commentList>
    <comment ref="O28" authorId="0" shapeId="0">
      <text>
        <r>
          <rPr>
            <b/>
            <sz val="8"/>
            <color indexed="81"/>
            <rFont val="Tahoma"/>
          </rPr>
          <t>EI:</t>
        </r>
        <r>
          <rPr>
            <sz val="8"/>
            <color indexed="81"/>
            <rFont val="Tahoma"/>
          </rPr>
          <t xml:space="preserve">
7 months</t>
        </r>
      </text>
    </comment>
    <comment ref="O31" authorId="0" shapeId="0">
      <text>
        <r>
          <rPr>
            <b/>
            <sz val="8"/>
            <color indexed="81"/>
            <rFont val="Tahoma"/>
          </rPr>
          <t>EI:</t>
        </r>
        <r>
          <rPr>
            <sz val="8"/>
            <color indexed="81"/>
            <rFont val="Tahoma"/>
          </rPr>
          <t xml:space="preserve">
7 months</t>
        </r>
      </text>
    </comment>
    <comment ref="O34" authorId="0" shapeId="0">
      <text>
        <r>
          <rPr>
            <b/>
            <sz val="8"/>
            <color indexed="81"/>
            <rFont val="Tahoma"/>
          </rPr>
          <t>EI:</t>
        </r>
        <r>
          <rPr>
            <sz val="8"/>
            <color indexed="81"/>
            <rFont val="Tahoma"/>
          </rPr>
          <t xml:space="preserve">
3.5 months</t>
        </r>
      </text>
    </comment>
    <comment ref="O35" authorId="0" shapeId="0">
      <text>
        <r>
          <rPr>
            <b/>
            <sz val="8"/>
            <color indexed="81"/>
            <rFont val="Tahoma"/>
          </rPr>
          <t>EI:</t>
        </r>
        <r>
          <rPr>
            <sz val="8"/>
            <color indexed="81"/>
            <rFont val="Tahoma"/>
          </rPr>
          <t xml:space="preserve">
3.5 months</t>
        </r>
      </text>
    </comment>
    <comment ref="O52" authorId="0" shapeId="0">
      <text>
        <r>
          <rPr>
            <b/>
            <sz val="8"/>
            <color indexed="81"/>
            <rFont val="Tahoma"/>
          </rPr>
          <t>EI:</t>
        </r>
        <r>
          <rPr>
            <sz val="8"/>
            <color indexed="81"/>
            <rFont val="Tahoma"/>
          </rPr>
          <t xml:space="preserve">
20% overtime</t>
        </r>
      </text>
    </comment>
    <comment ref="R52" authorId="0" shapeId="0">
      <text>
        <r>
          <rPr>
            <b/>
            <sz val="8"/>
            <color indexed="81"/>
            <rFont val="Tahoma"/>
          </rPr>
          <t>EI:</t>
        </r>
        <r>
          <rPr>
            <sz val="8"/>
            <color indexed="81"/>
            <rFont val="Tahoma"/>
          </rPr>
          <t xml:space="preserve">
20% overtime assumed</t>
        </r>
      </text>
    </comment>
    <comment ref="O53" authorId="0" shapeId="0">
      <text>
        <r>
          <rPr>
            <b/>
            <sz val="8"/>
            <color indexed="81"/>
            <rFont val="Tahoma"/>
          </rPr>
          <t>EI:</t>
        </r>
        <r>
          <rPr>
            <sz val="8"/>
            <color indexed="81"/>
            <rFont val="Tahoma"/>
          </rPr>
          <t xml:space="preserve">
20% overtime</t>
        </r>
      </text>
    </comment>
    <comment ref="R53" authorId="0" shapeId="0">
      <text>
        <r>
          <rPr>
            <b/>
            <sz val="8"/>
            <color indexed="81"/>
            <rFont val="Tahoma"/>
          </rPr>
          <t>EI:</t>
        </r>
        <r>
          <rPr>
            <sz val="8"/>
            <color indexed="81"/>
            <rFont val="Tahoma"/>
          </rPr>
          <t xml:space="preserve">
20% overtime assumed</t>
        </r>
      </text>
    </comment>
  </commentList>
</comments>
</file>

<file path=xl/sharedStrings.xml><?xml version="1.0" encoding="utf-8"?>
<sst xmlns="http://schemas.openxmlformats.org/spreadsheetml/2006/main" count="2072" uniqueCount="1162">
  <si>
    <t>CMMS software/installation</t>
  </si>
  <si>
    <t>$10M License + $10M installation/training</t>
  </si>
  <si>
    <t>CMMS hardware, equipment</t>
  </si>
  <si>
    <t>1 PC's ($2500), printer</t>
  </si>
  <si>
    <t>SAP Acctg System</t>
  </si>
  <si>
    <t>Software &amp; License</t>
  </si>
  <si>
    <t>Training &amp; Implementation</t>
  </si>
  <si>
    <t>Copiers</t>
  </si>
  <si>
    <t>1ea @ $8000</t>
  </si>
  <si>
    <t>Typewriters</t>
  </si>
  <si>
    <t>1ea @ $250</t>
  </si>
  <si>
    <t>Local Area Network</t>
  </si>
  <si>
    <t>LAN $2M + Installation $1,000</t>
  </si>
  <si>
    <t>Calculators</t>
  </si>
  <si>
    <t>5ea @ $20</t>
  </si>
  <si>
    <t>Projectors (overhead)</t>
  </si>
  <si>
    <t>1ea @ $400</t>
  </si>
  <si>
    <t>TV/VCR/Camcorders</t>
  </si>
  <si>
    <t>1ea @ $750/$500/$750</t>
  </si>
  <si>
    <t>White Boards</t>
  </si>
  <si>
    <t>5ea @ $80</t>
  </si>
  <si>
    <t>FAX machine</t>
  </si>
  <si>
    <t>2ea @ $400</t>
  </si>
  <si>
    <t>Misc Supplies</t>
  </si>
  <si>
    <t>pens, paper, staplers, envelopes, etc.</t>
  </si>
  <si>
    <t>Phones</t>
  </si>
  <si>
    <t>6ea @ $200</t>
  </si>
  <si>
    <t>Office Misc, pictures, plants, rugs, boards</t>
  </si>
  <si>
    <t>Janitorial supplies</t>
  </si>
  <si>
    <t>5% of cost</t>
  </si>
  <si>
    <t>O&amp;M Mobilization BudgetProcurement ExpensesOffice Furnishings, Equipment, Supplies Total</t>
  </si>
  <si>
    <t>O&amp;M Mobilization BudgetProcurement ExpensesSafety Equipment &amp; Supplies Title</t>
  </si>
  <si>
    <t>Safety Equipment &amp; Supplies</t>
  </si>
  <si>
    <t>Safety &amp; Environmental Equipment &amp; Supplies</t>
  </si>
  <si>
    <t>Personnel Safety equipment</t>
  </si>
  <si>
    <t>Safety glasses, Hard hats, goggles, face shields, gloves,</t>
  </si>
  <si>
    <t>locks, acid suits, SCBA respirators, safety shoes, etc.</t>
  </si>
  <si>
    <t>Portable Fire Extinguishers</t>
  </si>
  <si>
    <t>10ea. @ $120</t>
  </si>
  <si>
    <t>Firehose Cabinet Accessories</t>
  </si>
  <si>
    <t>First Aid equipment</t>
  </si>
  <si>
    <t>First Aid kit, stretcher, water jell blanket</t>
  </si>
  <si>
    <t>Safety test Equipment</t>
  </si>
  <si>
    <t>Biosystem unit, LEL &amp; O2 meter</t>
  </si>
  <si>
    <t>Environmental Test Equipment</t>
  </si>
  <si>
    <t>Noise level meter</t>
  </si>
  <si>
    <t>6" and 12" containment booms</t>
  </si>
  <si>
    <t xml:space="preserve">30 ton/hr skimmer </t>
  </si>
  <si>
    <t>Misc. anchors, tow bridles, buoys, etc.</t>
  </si>
  <si>
    <t>O&amp;M Mobilization BudgetProcurement ExpensesSafety Equipment &amp; Supplies Total</t>
  </si>
  <si>
    <t>O&amp;M Mobilization BudgetProcurement ExpensesVehicles &amp; Mobile Equipment Title</t>
  </si>
  <si>
    <t>Cars 4 WD w AC</t>
  </si>
  <si>
    <t>$26M</t>
  </si>
  <si>
    <t>1/2 ton Pickup Trucks</t>
  </si>
  <si>
    <t>1ea leased $2000 down &amp; lease</t>
  </si>
  <si>
    <t>700/mnth</t>
  </si>
  <si>
    <t>2 1/2 ton flat bed truck w winch</t>
  </si>
  <si>
    <t>$32M</t>
  </si>
  <si>
    <t>6 ton Forklift (outside)</t>
  </si>
  <si>
    <t>$38M</t>
  </si>
  <si>
    <t>3 ton Forklift (warehouse)</t>
  </si>
  <si>
    <t>1ea leased $1000 down &amp; lease</t>
  </si>
  <si>
    <t>500/mnth</t>
  </si>
  <si>
    <t>12 passenger Van w/o AC</t>
  </si>
  <si>
    <t>$24M</t>
  </si>
  <si>
    <t>18 passenger Van w/o AC</t>
  </si>
  <si>
    <t>$30M</t>
  </si>
  <si>
    <t>Firefighting equipment</t>
  </si>
  <si>
    <t>1ea. extinguisher cart</t>
  </si>
  <si>
    <t>$1M per</t>
  </si>
  <si>
    <t>Backhoe/heavy equipment</t>
  </si>
  <si>
    <t>Compressor water wash cart</t>
  </si>
  <si>
    <t>$10M</t>
  </si>
  <si>
    <t>250 cfm Air Compressor (trailer mtd)</t>
  </si>
  <si>
    <t>$16M</t>
  </si>
  <si>
    <t>400 amp welder(diesel drvr, trailer)</t>
  </si>
  <si>
    <t>$11M</t>
  </si>
  <si>
    <t>8 ton Crane</t>
  </si>
  <si>
    <t>$30M (used)</t>
  </si>
  <si>
    <t>Crew Boats</t>
  </si>
  <si>
    <t>$60M (used)</t>
  </si>
  <si>
    <t>Switch engine</t>
  </si>
  <si>
    <t>$300M</t>
  </si>
  <si>
    <t>Maintenance cart</t>
  </si>
  <si>
    <t>O&amp;M Mobilization BudgetProcurement ExpensesVehicles &amp; Mobile Equipment Total</t>
  </si>
  <si>
    <t>Basis: Purchasing Dept.</t>
  </si>
  <si>
    <t>O&amp;M Mobilization BudgetProcurement ExpensesWarehouse Furnishings &amp; Equipment Title</t>
  </si>
  <si>
    <t>Bins/Racks/shelves</t>
  </si>
  <si>
    <t>includes Lumber, nails, materials (to construct)</t>
  </si>
  <si>
    <t>Equipment/Tools</t>
  </si>
  <si>
    <t>dollies, scales, carpenter tools, banding &amp; labeling machines</t>
  </si>
  <si>
    <t>Furniture</t>
  </si>
  <si>
    <t>tables, desks, chairs, file cabinets</t>
  </si>
  <si>
    <t>Miscellaneous Supplies</t>
  </si>
  <si>
    <t>O&amp;M Mobilization BudgetProcurement ExpensesWarehouse Furnishings &amp; Equipment Total</t>
  </si>
  <si>
    <t>O&amp;M Mobilization BudgetProcurement ExpensesLaboratory Equipment Title</t>
  </si>
  <si>
    <t>Laboratory Analyzers (pH, conductivity, spectrophotometer)</t>
  </si>
  <si>
    <t>Glassware/Misc. Equipment (centrifuge, vacuum pump, PC,scale,oven)</t>
  </si>
  <si>
    <t>Furniture, cabinets, benches, tables, refrigerator</t>
  </si>
  <si>
    <t>Fuel Testing equipment</t>
  </si>
  <si>
    <t>Gas Chromatogragh/Atomic Absorption</t>
  </si>
  <si>
    <t>O&amp;M Mobilization BudgetProcurement ExpensesLaboratory Equipment Total</t>
  </si>
  <si>
    <t>Basis: Rino Manzano ccMail dtd 8/8/96</t>
  </si>
  <si>
    <t>O&amp;M Mobilization BudgetProcurement ExpensesShop Tools &amp; Equipment Title</t>
  </si>
  <si>
    <t>Mechanic Hand Tools</t>
  </si>
  <si>
    <t>tool boxes</t>
  </si>
  <si>
    <t>$1200 each</t>
  </si>
  <si>
    <t>I/E Tech Hand Tools</t>
  </si>
  <si>
    <t>$1500 each</t>
  </si>
  <si>
    <t>Consumables (Cleaning, Mech. supplies, compounds, I&amp;E supplies, hoses)</t>
  </si>
  <si>
    <t>Radios  (Basis: Houston 2-way Radio - Motorola HC1000, 2 channels)</t>
  </si>
  <si>
    <t>$1000 each</t>
  </si>
  <si>
    <t>Radio Base</t>
  </si>
  <si>
    <t>Mechanical Shop Tools &amp; Equip.</t>
  </si>
  <si>
    <t>High Pressure Hand Pump</t>
  </si>
  <si>
    <t>Nordstrom Hyper Grease Gun 5 gal.</t>
  </si>
  <si>
    <t>$3015 each</t>
  </si>
  <si>
    <t>Rockwell Hand Held High Pressure Grease Gun</t>
  </si>
  <si>
    <t>$960 each</t>
  </si>
  <si>
    <t>Hydraulic Torque Wrench</t>
  </si>
  <si>
    <t>$4000 each</t>
  </si>
  <si>
    <t>Centrifugal Pump</t>
  </si>
  <si>
    <t>$2500 each</t>
  </si>
  <si>
    <t>Pneumatic diaphram pump</t>
  </si>
  <si>
    <t>Bead Blaster</t>
  </si>
  <si>
    <t>$1800 each</t>
  </si>
  <si>
    <t>Sand Blaster</t>
  </si>
  <si>
    <t>$900 each</t>
  </si>
  <si>
    <t>Portable Air Compressor</t>
  </si>
  <si>
    <t>$600 each</t>
  </si>
  <si>
    <t>Hydraulic Press - 25 ton</t>
  </si>
  <si>
    <t>$1400 each</t>
  </si>
  <si>
    <t>O&amp;M Mobilization BudgetProcurement ExpensesShop Tools &amp; Equipment Total</t>
  </si>
  <si>
    <t>Post Hole Digger</t>
  </si>
  <si>
    <t>O&amp;M Mobilization BudgetProcurement ExpensesChemicals, Lubricants, Hydraulic Fluids Title</t>
  </si>
  <si>
    <t>Steel Work Bench</t>
  </si>
  <si>
    <t>$160 each</t>
  </si>
  <si>
    <t>$250 each</t>
  </si>
  <si>
    <t>Storage Cabinets</t>
  </si>
  <si>
    <t>$300 each</t>
  </si>
  <si>
    <t>Parts Washer</t>
  </si>
  <si>
    <t>Bench Grinder</t>
  </si>
  <si>
    <t>$400 each</t>
  </si>
  <si>
    <t>O&amp;M Mobilization BudgetProcurement ExpensesChemicals, Lubricants, Hydraulic Fluids Total</t>
  </si>
  <si>
    <t>Drill Press</t>
  </si>
  <si>
    <t>$2375 each</t>
  </si>
  <si>
    <t>O&amp;M Mobilization BudgetO&amp;M Mobilization Fee Title</t>
  </si>
  <si>
    <t>O&amp;M Mobilization Fee</t>
  </si>
  <si>
    <t>AC/DC Welder Generator</t>
  </si>
  <si>
    <t>$3100 each</t>
  </si>
  <si>
    <t>Assortment Hammer Wrenches</t>
  </si>
  <si>
    <t>$5000 each</t>
  </si>
  <si>
    <t>Flange Spreader</t>
  </si>
  <si>
    <t>Hoists /Come-a-longs</t>
  </si>
  <si>
    <t>Miscellaneous small hand tools</t>
  </si>
  <si>
    <t>$5000 set</t>
  </si>
  <si>
    <t>O&amp;M Mobilization BudgetO&amp;M Mobilization Fee Total</t>
  </si>
  <si>
    <t>I/E Shop Tools &amp; Test Equipment</t>
  </si>
  <si>
    <t>Gas Detector Calibration Kit</t>
  </si>
  <si>
    <t>$500 each</t>
  </si>
  <si>
    <t>O&amp;M Mobilization BudgetOwner Optional Items Title</t>
  </si>
  <si>
    <t>Owner Optional Items</t>
  </si>
  <si>
    <t>Flow, Press, &amp; Temp Transmitter Communicators</t>
  </si>
  <si>
    <t>Digital Thickness Gauge</t>
  </si>
  <si>
    <t>UV IR Portable Test Kit</t>
  </si>
  <si>
    <t>IRD Vibration Meter</t>
  </si>
  <si>
    <t>$8000 each</t>
  </si>
  <si>
    <t>Fluke Digital Multimeter</t>
  </si>
  <si>
    <t>$350 each</t>
  </si>
  <si>
    <t>O&amp;M Mobilization BudgetOwner Optional Items Total</t>
  </si>
  <si>
    <t>Thermocoupler Calibrator</t>
  </si>
  <si>
    <t>$950 each</t>
  </si>
  <si>
    <t>Precision Pressure Calibrator</t>
  </si>
  <si>
    <t>$5700 each</t>
  </si>
  <si>
    <t>Simpson Multimeter</t>
  </si>
  <si>
    <t>RTD Calibrator</t>
  </si>
  <si>
    <t>$700 each</t>
  </si>
  <si>
    <t>Test Gauges 0 -1500 psig.</t>
  </si>
  <si>
    <t>$1000 set</t>
  </si>
  <si>
    <t>Gravitometer</t>
  </si>
  <si>
    <t>$5850 each</t>
  </si>
  <si>
    <t>PK Tester</t>
  </si>
  <si>
    <t>$4065 each</t>
  </si>
  <si>
    <t>Pipeline Locator</t>
  </si>
  <si>
    <t>$3900 each</t>
  </si>
  <si>
    <t xml:space="preserve">Test/Troubleshooting Equipment </t>
  </si>
  <si>
    <t>Beta Engine Analyzer</t>
  </si>
  <si>
    <t>$60,000 each</t>
  </si>
  <si>
    <t>O&amp;M Mobilization BudgetCapital, Operating and BOP Spares (1998$) Title</t>
  </si>
  <si>
    <t>Capital, Operating and BOP Spares (1996$)</t>
  </si>
  <si>
    <t>Oscilloscope</t>
  </si>
  <si>
    <t>$3000 each</t>
  </si>
  <si>
    <t>Capital, Operating and BOP Spares (1998$)</t>
  </si>
  <si>
    <t>Bore Scope (probe, light source and photo)</t>
  </si>
  <si>
    <t>$15,000 each</t>
  </si>
  <si>
    <t>Combustible Gas Detector</t>
  </si>
  <si>
    <t>$1795 each</t>
  </si>
  <si>
    <t>O&amp;M Mobilization BudgetCapital, Operating and BOP Spares (1998$) Total</t>
  </si>
  <si>
    <t>Warehouse Stock</t>
  </si>
  <si>
    <t xml:space="preserve">1month's worth x chemicals </t>
  </si>
  <si>
    <t>5% of cost (included above)</t>
  </si>
  <si>
    <t>Fixed Fee</t>
  </si>
  <si>
    <t>Included in the "Benefits" calculations</t>
  </si>
  <si>
    <t>Commercial Office Mobilization</t>
  </si>
  <si>
    <t>Within the Owner's scope</t>
  </si>
  <si>
    <t>Capital, Operating and BOP Spares</t>
  </si>
  <si>
    <t>BOP</t>
  </si>
  <si>
    <t>Freight &amp; Insurance</t>
  </si>
  <si>
    <t>Payroll &amp; Burden</t>
  </si>
  <si>
    <t>Administration and Operations Expenses</t>
  </si>
  <si>
    <t>Total Administration &amp; Operations Expenses</t>
  </si>
  <si>
    <t>Total Maintenance</t>
  </si>
  <si>
    <t>Total O&amp;M Expenses (excl GT Scheduled Maint. Program)</t>
  </si>
  <si>
    <t xml:space="preserve">GT Lease Program Annual Membership (1 unit) </t>
  </si>
  <si>
    <t>Commercial Operations Staffing Plan</t>
  </si>
  <si>
    <t>(US$)</t>
  </si>
  <si>
    <t>INDIVIDUAL</t>
  </si>
  <si>
    <t>TOTAL ANNUAL</t>
  </si>
  <si>
    <t>STAFFING</t>
  </si>
  <si>
    <t>SALARY</t>
  </si>
  <si>
    <t>HOURLY RATE</t>
  </si>
  <si>
    <t>SALARY &amp; WAGES</t>
  </si>
  <si>
    <t>BENEFITS</t>
  </si>
  <si>
    <t>TOTAL</t>
  </si>
  <si>
    <t xml:space="preserve">    OVERTIME @ 10%</t>
  </si>
  <si>
    <t xml:space="preserve">TOTAL </t>
  </si>
  <si>
    <t>POSITIONS</t>
  </si>
  <si>
    <t>ANNUAL*</t>
  </si>
  <si>
    <t>Annual</t>
  </si>
  <si>
    <t>Hours</t>
  </si>
  <si>
    <t xml:space="preserve"> </t>
  </si>
  <si>
    <t>IN US $</t>
  </si>
  <si>
    <t>Straight Time Domestic Rates</t>
  </si>
  <si>
    <t>Employee Cost Breakdown</t>
  </si>
  <si>
    <t>Base</t>
  </si>
  <si>
    <t>Payroll</t>
  </si>
  <si>
    <t>Workers</t>
  </si>
  <si>
    <t>Group</t>
  </si>
  <si>
    <t>General</t>
  </si>
  <si>
    <t>Position or</t>
  </si>
  <si>
    <t>Hourly</t>
  </si>
  <si>
    <t>Comp.</t>
  </si>
  <si>
    <t>O/H</t>
  </si>
  <si>
    <t>Ins.</t>
  </si>
  <si>
    <t>Liability</t>
  </si>
  <si>
    <t>Pension</t>
  </si>
  <si>
    <t>Burdened</t>
  </si>
  <si>
    <t>Employee Name</t>
  </si>
  <si>
    <t>Rate</t>
  </si>
  <si>
    <t>Burdens</t>
  </si>
  <si>
    <t>Alloc.</t>
  </si>
  <si>
    <t>Prem.</t>
  </si>
  <si>
    <t>Total</t>
  </si>
  <si>
    <t>Salary</t>
  </si>
  <si>
    <t>Plant Manager</t>
  </si>
  <si>
    <t>Maintenance Manager</t>
  </si>
  <si>
    <t>Purchasing / Warehouse</t>
  </si>
  <si>
    <t>Operations &amp; Maint.</t>
  </si>
  <si>
    <t>Supervisor</t>
  </si>
  <si>
    <t>Over Time Domestic Rates</t>
  </si>
  <si>
    <t>Payroll &amp; Burden (Total over project life)</t>
  </si>
  <si>
    <t>See detailed sheet</t>
  </si>
  <si>
    <t>Basis: HR data</t>
  </si>
  <si>
    <t>Travel Expenses/Overtime Meals</t>
  </si>
  <si>
    <t>Conferences/Training</t>
  </si>
  <si>
    <t>Fees &amp; Dues</t>
  </si>
  <si>
    <t>Employees Expense</t>
  </si>
  <si>
    <t>$250/month</t>
  </si>
  <si>
    <t>Entertainment Expense</t>
  </si>
  <si>
    <t>$150/employee</t>
  </si>
  <si>
    <t>Recruiting</t>
  </si>
  <si>
    <t>Basis: OEC experience</t>
  </si>
  <si>
    <t>Permanent Contract Labor</t>
  </si>
  <si>
    <t>Janitorial</t>
  </si>
  <si>
    <t>$800/month x 12 months</t>
  </si>
  <si>
    <t>Groundskeeping/Landscaping</t>
  </si>
  <si>
    <t>$400/month x 12 months</t>
  </si>
  <si>
    <t>Uniform Services</t>
  </si>
  <si>
    <t>$300/month x 12 months</t>
  </si>
  <si>
    <t>Lab Services</t>
  </si>
  <si>
    <t>costs shown in Lab Expenses category</t>
  </si>
  <si>
    <t>Basis:</t>
  </si>
  <si>
    <t xml:space="preserve">Environmental Expense </t>
  </si>
  <si>
    <t>Training/Awards</t>
  </si>
  <si>
    <t>RATA testing</t>
  </si>
  <si>
    <t>Materials &amp; Supplies</t>
  </si>
  <si>
    <t>Calibration/test gases</t>
  </si>
  <si>
    <t>Technical/Professional Services</t>
  </si>
  <si>
    <t xml:space="preserve">2 trip x $1M/trip + 4 days perdiem x $125/day </t>
  </si>
  <si>
    <t>80 manhrs x $75/hr (audit)</t>
  </si>
  <si>
    <t>covered in O/H</t>
  </si>
  <si>
    <t>4 x $1,000/trip + 20 days x $150/day + $50/day x 15days</t>
  </si>
  <si>
    <t>7 x $1500 each</t>
  </si>
  <si>
    <t>$22,900 x (180MW/414MW)^.6</t>
  </si>
  <si>
    <t>$200/month x 12 months</t>
  </si>
  <si>
    <t>$100/month x 12 months</t>
  </si>
  <si>
    <t>existing vehicles</t>
  </si>
  <si>
    <t>46 lbs/hr x 1300 hrs/year x $0.2/lb</t>
  </si>
  <si>
    <t>Trailer Leasing Mixed Beds</t>
  </si>
  <si>
    <t>$0.30/Mgal x 4GTs x 67 gal/min/gt x 60min/hr x 1300 hrs/yr</t>
  </si>
  <si>
    <t>$70,000 x (180/414)^.6</t>
  </si>
  <si>
    <t>$3,375/yr x 4</t>
  </si>
  <si>
    <t>$9,816 x (133 kpph/180 kpph)^.6 x 2,500hrs/2,500hrs</t>
  </si>
  <si>
    <t>$179,000 x (180MW/414MW)^.6 x 75%</t>
  </si>
  <si>
    <t>35000 x 4</t>
  </si>
  <si>
    <t>$22,000/gt x 1300hrs/2000 hrs x 4 gts</t>
  </si>
  <si>
    <t>Basis: Vineland, NJ experience (1 x LM6000 avg annual maint = $57,000 @ 2000 hrs)</t>
  </si>
  <si>
    <t>.</t>
  </si>
  <si>
    <t>SCR + Ammonia system</t>
  </si>
  <si>
    <t>2% of cost $1,200,000/unit x 4 units</t>
  </si>
  <si>
    <t>Selective Catalytic Reduction &amp; Ammonia System</t>
  </si>
  <si>
    <t>3 YEAR</t>
  </si>
  <si>
    <t>AVERAGE</t>
  </si>
  <si>
    <t>20 YEAR</t>
  </si>
  <si>
    <t>The mixed beds are leased</t>
  </si>
  <si>
    <t xml:space="preserve">Chemicals </t>
  </si>
  <si>
    <t>Fixed</t>
  </si>
  <si>
    <t>Variable</t>
  </si>
  <si>
    <t>90% Fixed / 10% Variable</t>
  </si>
  <si>
    <t xml:space="preserve">GT Scheduled Major Maintenance Accrual ($/fired hour) </t>
  </si>
  <si>
    <t xml:space="preserve">SCR Catalyst Replacement Accrual ($/fired hour) </t>
  </si>
  <si>
    <t>Lease Engine Membership fees</t>
  </si>
  <si>
    <t>3 and 20 year term modeled</t>
  </si>
  <si>
    <t xml:space="preserve">Commercial Office Mobilization Expenses </t>
  </si>
  <si>
    <t xml:space="preserve">Owners' Engineer Expenses </t>
  </si>
  <si>
    <t xml:space="preserve">Commercial Office Expenses </t>
  </si>
  <si>
    <t>TOTAL ($/Kw)</t>
  </si>
  <si>
    <t>$/kW</t>
  </si>
  <si>
    <t>FOM ($/kW-yr)</t>
  </si>
  <si>
    <t>VOM ($/mWh)</t>
  </si>
  <si>
    <t xml:space="preserve">13) Chemical costs and 10% of annual maintnenace are assumed variable with dispatch; all other costs are fixed. </t>
  </si>
  <si>
    <t>28) Estimate assumes that adequate maintenance and calibration facilities, mobile equipment and lab services available at nearby COA facilities.</t>
  </si>
  <si>
    <t>25) SCR replacement not accrued for in the estimate.</t>
  </si>
  <si>
    <t>30) GT Major Maintenance not accrued for in the estimate.</t>
  </si>
  <si>
    <t xml:space="preserve">Map </t>
  </si>
  <si>
    <t>Maintenance Expenses</t>
  </si>
  <si>
    <t>Other Outside Services</t>
  </si>
  <si>
    <t>Non-Hazardous Waste Handling</t>
  </si>
  <si>
    <t>Other</t>
  </si>
  <si>
    <t>Safety Expense</t>
  </si>
  <si>
    <t>Company Membership &amp; Dues</t>
  </si>
  <si>
    <t>Routine Safety Supplies</t>
  </si>
  <si>
    <t xml:space="preserve">2 x $1M/trip + 4 days perdiem x $125/day </t>
  </si>
  <si>
    <t>Labor covered in O/H</t>
  </si>
  <si>
    <t>Safety Equipment Rentals</t>
  </si>
  <si>
    <t>Buildings &amp; Grounds</t>
  </si>
  <si>
    <t>HVAC</t>
  </si>
  <si>
    <t>Scaled on MW</t>
  </si>
  <si>
    <t>Building repairs &amp; painting</t>
  </si>
  <si>
    <t>Road repairs</t>
  </si>
  <si>
    <t>Outside services Contract labor</t>
  </si>
  <si>
    <t>Vineland annual expense avg= 3500</t>
  </si>
  <si>
    <t>Equipment Rentals</t>
  </si>
  <si>
    <t>(5 years of data -- new plant)</t>
  </si>
  <si>
    <t>Other Rents</t>
  </si>
  <si>
    <t>Supplies</t>
  </si>
  <si>
    <t>Basis: Tx City/Clear Lake experience</t>
  </si>
  <si>
    <t>Office Supplies &amp; Expenses</t>
  </si>
  <si>
    <t>Postage &amp; Express Mail</t>
  </si>
  <si>
    <t>Outside Services Contract Labor</t>
  </si>
  <si>
    <t>80 hrs x $12/hr</t>
  </si>
  <si>
    <t>Misc consulting at  40 hrs x $100/hr</t>
  </si>
  <si>
    <t>Home office support covered in overheads</t>
  </si>
  <si>
    <t>Office Equipment Maint.</t>
  </si>
  <si>
    <t>Regional Mgmt Support</t>
  </si>
  <si>
    <t>Regulatory</t>
  </si>
  <si>
    <t>Owner's scope</t>
  </si>
  <si>
    <t>Garbage &amp; Trash</t>
  </si>
  <si>
    <t>Office Equipment Rental</t>
  </si>
  <si>
    <t>Radio parts/repair</t>
  </si>
  <si>
    <t>50% of Subic</t>
  </si>
  <si>
    <t>PC Hardware (purchase)</t>
  </si>
  <si>
    <t>Same as Subic for items &lt; $1000, otherwise in Sus. Capital</t>
  </si>
  <si>
    <t>PC Software</t>
  </si>
  <si>
    <t>1 CMMS licenses @ $750 ea.+ upgrades</t>
  </si>
  <si>
    <t>PC Hardware Rental/Lease</t>
  </si>
  <si>
    <t>PC Maintenance</t>
  </si>
  <si>
    <t>Misc Freight Expenses</t>
  </si>
  <si>
    <t>Utilities (office water, power, gas)</t>
  </si>
  <si>
    <t>Assumed in Plant's House Load</t>
  </si>
  <si>
    <t>Public relations/Contributions</t>
  </si>
  <si>
    <t>Boat maintenance/repair</t>
  </si>
  <si>
    <t>Vehicle &amp; mobile equipment Lease</t>
  </si>
  <si>
    <t>Vehicle maintenance/repair</t>
  </si>
  <si>
    <t>$500/vehicle/year</t>
  </si>
  <si>
    <t>Vehicle fuel</t>
  </si>
  <si>
    <t>see detail below</t>
  </si>
  <si>
    <t>Boat fuel</t>
  </si>
  <si>
    <t>Phone service (international calls)</t>
  </si>
  <si>
    <t>12x$500/month</t>
  </si>
  <si>
    <t>Cellular phone service</t>
  </si>
  <si>
    <t>2 phones x $300/month</t>
  </si>
  <si>
    <t>VSAT</t>
  </si>
  <si>
    <t>none assumed for this project</t>
  </si>
  <si>
    <t>Operating Insurance</t>
  </si>
  <si>
    <t>Basis: Vineland, NJ experience</t>
  </si>
  <si>
    <t>Control Room/Laboratory Expenses</t>
  </si>
  <si>
    <t>Lab analysis monthly, annual, etc</t>
  </si>
  <si>
    <t>Reagents &amp; Supplies</t>
  </si>
  <si>
    <t>Rental Equipment</t>
  </si>
  <si>
    <t>Analyzer Repairs</t>
  </si>
  <si>
    <t>Contract Labor/Temporaries</t>
  </si>
  <si>
    <t>5% of 75% of total</t>
  </si>
  <si>
    <t>Basis: OEC/Vineland Experience</t>
  </si>
  <si>
    <t>Operations Support (Year 1 Only)</t>
  </si>
  <si>
    <t xml:space="preserve">1ea.x$125/dayx30days </t>
  </si>
  <si>
    <t>1ea.x$1000 trip x 1trips (coach class)</t>
  </si>
  <si>
    <t xml:space="preserve">   Tax Protection (over 6 months)</t>
  </si>
  <si>
    <t>n/a</t>
  </si>
  <si>
    <t>Ops engineer for 1 month to aid in Initial Operating Period</t>
  </si>
  <si>
    <t>Chemicals &amp; Water Treatment</t>
  </si>
  <si>
    <t>Demin Acid/Caustic</t>
  </si>
  <si>
    <t>Resin Replacement</t>
  </si>
  <si>
    <t>CT Chemicals</t>
  </si>
  <si>
    <t>assume at 3 cycles, surface water makeup</t>
  </si>
  <si>
    <t>Boiler Chemicals</t>
  </si>
  <si>
    <t>Desal RO Chemicals &amp; Membrane replacement</t>
  </si>
  <si>
    <t>Potable Water Chemicals</t>
  </si>
  <si>
    <t>SCR Ammonia usage</t>
  </si>
  <si>
    <t>Hydrogen (generators)</t>
  </si>
  <si>
    <t>Assume air cooled</t>
  </si>
  <si>
    <t>Waste Water Treatment</t>
  </si>
  <si>
    <t>GT Water Wash Detergent</t>
  </si>
  <si>
    <t>4 drums / year</t>
  </si>
  <si>
    <t>freight</t>
  </si>
  <si>
    <t>5% of total</t>
  </si>
  <si>
    <t>Basis: source is 750 ppm TDS surface water; CT flow 8500 gpm; range 10deg F</t>
  </si>
  <si>
    <t>Painting</t>
  </si>
  <si>
    <t>Paint &amp; Materials</t>
  </si>
  <si>
    <t>Outside Contract Services</t>
  </si>
  <si>
    <t>Equipment rental</t>
  </si>
  <si>
    <t>Basis: 13 years of Actuals from Tx City/Clear Lake Plants</t>
  </si>
  <si>
    <t>Instruments &amp; Controls</t>
  </si>
  <si>
    <t>Repair Parts</t>
  </si>
  <si>
    <t>variable</t>
  </si>
  <si>
    <t>Outside Repair Services</t>
  </si>
  <si>
    <t>fixed</t>
  </si>
  <si>
    <t>Basis: Vineland, NJ experience (1 x LM6000)</t>
  </si>
  <si>
    <t>Water Treatment System</t>
  </si>
  <si>
    <t>scaled on throughput and hrs of operation</t>
  </si>
  <si>
    <t>Outside Contract Labor</t>
  </si>
  <si>
    <t>Cooling System &amp; Chillers</t>
  </si>
  <si>
    <t>Scaled on plant size</t>
  </si>
  <si>
    <t>multiplied by factor of 75% due to no STG at this plant</t>
  </si>
  <si>
    <t>Electrical/Substation/Interconnects</t>
  </si>
  <si>
    <t>Scaled on genrator MW and # generators</t>
  </si>
  <si>
    <t>Electric Meter Calibration &amp; Testing</t>
  </si>
  <si>
    <t>Scaled cost = Labor Cost + Materials Cost</t>
  </si>
  <si>
    <t xml:space="preserve">Labor cost (25% of total) = 25% x $94,000 </t>
  </si>
  <si>
    <t xml:space="preserve">Material Cost (75% of total) = 75% x $94,000 x (1gens/4.5gens) </t>
  </si>
  <si>
    <t xml:space="preserve">                                           x (46.5MW/104MW)^0.6  </t>
  </si>
  <si>
    <t>5% of 11% of total</t>
  </si>
  <si>
    <t>Gas Turbines (excluding overhaul maint.)</t>
  </si>
  <si>
    <t>preventive and corrective maintenance, to include</t>
  </si>
  <si>
    <t>semi-annual boroscope, calibration &amp; inspection by S&amp;S</t>
  </si>
  <si>
    <t xml:space="preserve">Equipment rental </t>
  </si>
  <si>
    <t>assumed to cover a few routine TIL installations each year</t>
  </si>
  <si>
    <t>Does not include a membership into the Lease Engine Program</t>
  </si>
  <si>
    <t>HRSG</t>
  </si>
  <si>
    <t>Chemical Feed system</t>
  </si>
  <si>
    <t>$3500/yr x 8700hrs/2500 hrs</t>
  </si>
  <si>
    <t>Condensate system</t>
  </si>
  <si>
    <t>feedwater system</t>
  </si>
  <si>
    <t>Steam distribution system</t>
  </si>
  <si>
    <t>Auxiliary boiler</t>
  </si>
  <si>
    <t>Assuming minimal usage each year</t>
  </si>
  <si>
    <t>Basis: OEC Vineland Experience</t>
  </si>
  <si>
    <t>Steam Turbine (including Scheduled Maint.)</t>
  </si>
  <si>
    <t>Non-scheduled maint. parts/repairs</t>
  </si>
  <si>
    <t>Scheduled Maint.</t>
  </si>
  <si>
    <t>NOT IN SCOPE OF WORK</t>
  </si>
  <si>
    <t>Auxiliary Parts</t>
  </si>
  <si>
    <t>Potable Water System</t>
  </si>
  <si>
    <t>Fuel Handling System</t>
  </si>
  <si>
    <t>Basis: Vineland, NJ experience (scaled down to remove compressor costs)</t>
  </si>
  <si>
    <t>Miscellaneous Maintenance Expense</t>
  </si>
  <si>
    <t>Warehouse Supplies</t>
  </si>
  <si>
    <t>Vehicle Fuel/Gasoline</t>
  </si>
  <si>
    <t>Vehicle Repairs &amp; Maintenance</t>
  </si>
  <si>
    <t>Vehicle Lease</t>
  </si>
  <si>
    <t>Equipment/tools rental</t>
  </si>
  <si>
    <t>Lubricants/Turbine Oil/Grease/Compounds</t>
  </si>
  <si>
    <t>Tools &amp; Tool Repair</t>
  </si>
  <si>
    <t>Maint. Materials &amp; Supplies</t>
  </si>
  <si>
    <t>CEMS maint</t>
  </si>
  <si>
    <t>Fire Protection System</t>
  </si>
  <si>
    <t>Wastewater System</t>
  </si>
  <si>
    <t>Instrument Air system</t>
  </si>
  <si>
    <t>Radio Parts and repairs</t>
  </si>
  <si>
    <t>BOP Repairs</t>
  </si>
  <si>
    <t>Hydrogen</t>
  </si>
  <si>
    <t>O&amp;M Annual Fee</t>
  </si>
  <si>
    <t>This is included in benefits loading under payroll</t>
  </si>
  <si>
    <t>Basis: Eval team concensus</t>
  </si>
  <si>
    <t>Major Equipment Maintenance Program (20 year total)</t>
  </si>
  <si>
    <t>Commercial Office Expenses</t>
  </si>
  <si>
    <t>Administrative/Technical</t>
  </si>
  <si>
    <t>Sustaining Project Expenses</t>
  </si>
  <si>
    <t>10% of procurement items</t>
  </si>
  <si>
    <t>Vehicular Fuel Usage</t>
  </si>
  <si>
    <t>1 Trucks:</t>
  </si>
  <si>
    <t>1 x gal/15 miles x $1.3/gal x 30,000 miles/yr</t>
  </si>
  <si>
    <t>0 Van &amp; 1 Flat-bed Truck:</t>
  </si>
  <si>
    <t>2 x gal/ 10 miles x $1.5/gal x 20 miles/day x 365 days/year</t>
  </si>
  <si>
    <t>1 Forklifts:</t>
  </si>
  <si>
    <t>1 x 2 gal/hr x $1.5/gal x 1 hr/day x 180 days/yr</t>
  </si>
  <si>
    <t>0 Crane:</t>
  </si>
  <si>
    <t>5 gal/hr x $1.5/gal x 40 days/yr x 8 hours/day</t>
  </si>
  <si>
    <t>0 Crew Boats:</t>
  </si>
  <si>
    <t>20 gal/hr x 1hr/30 miles x 30 miles x 2rd trips/d x365 days/yr x $1.5/gal x 2.0 (idle factor)</t>
  </si>
  <si>
    <t>THESE COSTS ARE ALREADY INCLUDED ABOVE IN "OFFICE SUPPLIES/EXPENSES"</t>
  </si>
  <si>
    <t xml:space="preserve">Basis: </t>
  </si>
  <si>
    <t>1/ Fixed Maintenance costs are assumed to be 50% parts, 25% labor, 25% consumables.</t>
  </si>
  <si>
    <t>0..</t>
  </si>
  <si>
    <t>GE LM6000 - Major Maintenance Reserve</t>
  </si>
  <si>
    <t>Gas Fired Operation</t>
  </si>
  <si>
    <t>Project Life</t>
  </si>
  <si>
    <t>Years</t>
  </si>
  <si>
    <t>Lease Club Membership Fees Not Included</t>
  </si>
  <si>
    <t>total cost</t>
  </si>
  <si>
    <t>cost per engine</t>
  </si>
  <si>
    <t>Total Number of Installed Units</t>
  </si>
  <si>
    <t>cost per year</t>
  </si>
  <si>
    <t>cost per FIRED hour</t>
  </si>
  <si>
    <t>Inputs</t>
  </si>
  <si>
    <t>Annual Lease Club Fees</t>
  </si>
  <si>
    <t>per engine</t>
  </si>
  <si>
    <t>$201,368 for LM6000 DLE (PD) &amp; 20% increase for liquid fuel operation</t>
  </si>
  <si>
    <t xml:space="preserve">Lease Engine Usage Fee </t>
  </si>
  <si>
    <t>per week (1-26 weeks)</t>
  </si>
  <si>
    <t>Preventative Maintenance</t>
  </si>
  <si>
    <t>per year</t>
  </si>
  <si>
    <t>Semi-Annual Preventative Maintenance</t>
  </si>
  <si>
    <t>Hot Section Refurbishment / 24,000 hrs</t>
  </si>
  <si>
    <t>per GT</t>
  </si>
  <si>
    <t>excludes DLE adder</t>
  </si>
  <si>
    <t>Engine Refurbishment / 48,000 hrs</t>
  </si>
  <si>
    <t>excluding 20% adder for DLN</t>
  </si>
  <si>
    <t>Labor &amp; Engineering / Hot Section</t>
  </si>
  <si>
    <t>Travel &amp; diem for GE personnel</t>
  </si>
  <si>
    <t>Labor &amp; Engineering / Major</t>
  </si>
  <si>
    <t>Dispatch</t>
  </si>
  <si>
    <t>Fired hrs/yr</t>
  </si>
  <si>
    <t>Year</t>
  </si>
  <si>
    <t>Hours (EOY)</t>
  </si>
  <si>
    <t>Maint Inspection (C, H or M)</t>
  </si>
  <si>
    <t>h</t>
  </si>
  <si>
    <t>Comb., Hot Sec &amp; Major Maint. Cost</t>
  </si>
  <si>
    <t>Preventative Miantenance</t>
  </si>
  <si>
    <t>Labor &amp; Engineering</t>
  </si>
  <si>
    <t>Lease Program</t>
  </si>
  <si>
    <t>Lease Engine Usage Fee</t>
  </si>
  <si>
    <t>Yearly Totals</t>
  </si>
  <si>
    <t>Assumptions:</t>
  </si>
  <si>
    <t>1. Hot Gas Path inspection conducted at 25,000 fired hour intervals and Major at 50,000 hour intervals.</t>
  </si>
  <si>
    <t>3. Maintenance and lease costs from George Graham/Stewart &amp; Stevenson 12/10/99 e-mail.</t>
  </si>
  <si>
    <t>BASE LOAD CASE</t>
  </si>
  <si>
    <t>Lease Club Membership Fees Included</t>
  </si>
  <si>
    <t>48,000 hour engine refurbishment assumes assumes 12 week usage of lease engine</t>
  </si>
  <si>
    <t>(rotable exchnage)</t>
  </si>
  <si>
    <t>Maint Inspection (H or M)</t>
  </si>
  <si>
    <t>H</t>
  </si>
  <si>
    <t>Hot Sec &amp; Major Maint.</t>
  </si>
  <si>
    <t>1. Hot Gas Path inspection conducted at 25,000 fired hour intervals.</t>
  </si>
  <si>
    <t>2. Major inspection conducted at 50,000 fired hour intervals.</t>
  </si>
  <si>
    <r>
      <t>GT&amp;G Operation &amp; Familiarization (equip vendor)</t>
    </r>
    <r>
      <rPr>
        <vertAlign val="superscript"/>
        <sz val="10"/>
        <rFont val="Arial"/>
        <family val="2"/>
      </rPr>
      <t>3</t>
    </r>
  </si>
  <si>
    <t>Map of Austin</t>
  </si>
  <si>
    <t>24) This O&amp;M Estimate does not include the cost of the following items:</t>
  </si>
  <si>
    <t>Familiarization</t>
  </si>
  <si>
    <t xml:space="preserve">                No Charge</t>
  </si>
  <si>
    <t>Level 1 Maintenance (equip. vendor)</t>
  </si>
  <si>
    <t>Level 2 Maintenance (equip. vendor)</t>
  </si>
  <si>
    <t>Boroscope Maintenance (equip. vendor)</t>
  </si>
  <si>
    <t>GTG controls MK VI (equip vendor)</t>
  </si>
  <si>
    <t>Power Plant Basic O&amp;M (2 days)*</t>
  </si>
  <si>
    <t>Introduction to Plant &amp; Systems (3 days)*</t>
  </si>
  <si>
    <t>Equip. Vendor Training - $25M/wk</t>
  </si>
  <si>
    <t>Basic Plant Training (developed in-house) - no added cost</t>
  </si>
  <si>
    <t>Electrical/Controls Maintenance Training (3 x I/C/E Technicians)  (at OEM sites)</t>
  </si>
  <si>
    <t>Basic Maintenance Training (2 x Mechanics) (At Cincinnati)</t>
  </si>
  <si>
    <t>Major Systems Training (All O&amp;M Personnel) (1 session at site)</t>
  </si>
  <si>
    <t>Control Room Training (All Operators) (1 session at site/other plants)</t>
  </si>
  <si>
    <t>Generator/Excitation Maintenance (equip. vendor)</t>
  </si>
  <si>
    <r>
      <t>DCS Operation &amp; Familiarization (equip. vendor)</t>
    </r>
    <r>
      <rPr>
        <vertAlign val="superscript"/>
        <sz val="10"/>
        <rFont val="Arial"/>
        <family val="2"/>
      </rPr>
      <t>3</t>
    </r>
  </si>
  <si>
    <t>Specialized Operator Training (All Operators) (1 session at existing plants)</t>
  </si>
  <si>
    <t>Water Systems &amp; Chemistry (performed by AE in house)*</t>
  </si>
  <si>
    <t>Basic Plant Training (All New Hires) (1session at site/existing plants)</t>
  </si>
  <si>
    <t xml:space="preserve">Instructor Per diem: # class weeks at site for OEM x 5d/wk x $150/day (1 instructor/class week)  </t>
  </si>
  <si>
    <t>Travel: maintenance techs 8 trips x $1M/trip</t>
  </si>
  <si>
    <t>Travel: Instructors (3 Vendors) x $1M/trip ea</t>
  </si>
  <si>
    <t xml:space="preserve">Maint Techs' Per diem: # techs x # class weeks at OEM site x 5d/wk x $150/day </t>
  </si>
  <si>
    <t>Training/Early Commissioning----------------------------------------------&gt;</t>
  </si>
  <si>
    <t>Recruiting/Procedures/Setup------------------------------------------------------------------------------------------&gt;</t>
  </si>
  <si>
    <t>3. LM6000 and DCS Familiarization training assumed provided for by Equipment Supplier (in Equipment PO).</t>
  </si>
  <si>
    <t xml:space="preserve">    Technical Direction of Installation (TD of I)</t>
  </si>
  <si>
    <t xml:space="preserve">    Vendor Familiarization Training (Maj. Equip &amp; Controls)</t>
  </si>
  <si>
    <t>Assumed in equipment supply</t>
  </si>
  <si>
    <t xml:space="preserve">    Add'l Major Equip. Vendor </t>
  </si>
  <si>
    <t xml:space="preserve">    O&amp;M requirements</t>
  </si>
  <si>
    <t>$250/month x 3 months</t>
  </si>
  <si>
    <t>Pay &amp; Benefits Calculations</t>
  </si>
  <si>
    <t>Mobilization Period</t>
  </si>
  <si>
    <t>Operating Period</t>
  </si>
  <si>
    <t>Quantity</t>
  </si>
  <si>
    <t>ESOP</t>
  </si>
  <si>
    <t>401(k)</t>
  </si>
  <si>
    <t>Clerk</t>
  </si>
  <si>
    <t>Totals</t>
  </si>
  <si>
    <t xml:space="preserve">     Straight Time</t>
  </si>
  <si>
    <t xml:space="preserve">     Over time</t>
  </si>
  <si>
    <t>ANNUAL</t>
  </si>
  <si>
    <t>HOURS</t>
  </si>
  <si>
    <t>Monthly</t>
  </si>
  <si>
    <t>existing support</t>
  </si>
  <si>
    <t>Use existing plant buildings/offices when necessary</t>
  </si>
  <si>
    <t>LM6000PC package spares</t>
  </si>
  <si>
    <t xml:space="preserve">Employee Lockers </t>
  </si>
  <si>
    <t>Local travel</t>
  </si>
  <si>
    <t>CONTROL ROOM TECHNICIAN</t>
  </si>
  <si>
    <t>OUTSIDE TECHNICIAN</t>
  </si>
  <si>
    <t>Should have already</t>
  </si>
  <si>
    <t>Buyer support from other projects</t>
  </si>
  <si>
    <t>Semi-Annual Preventative Maintenance included in annual O&amp;M</t>
  </si>
  <si>
    <t>Misc rentals, Freight, Travel &amp; diem for GE personnel</t>
  </si>
  <si>
    <t>Engine Refurbishment / 50,000 hrs</t>
  </si>
  <si>
    <t>Rotable exchange for the hot section</t>
  </si>
  <si>
    <t>Depot level repair</t>
  </si>
  <si>
    <t>cost per year per engine</t>
  </si>
  <si>
    <t>cost per FIRED hour per engine</t>
  </si>
  <si>
    <t>2. Pricing in 2000 USD. Does not include escalation beyond that.</t>
  </si>
  <si>
    <t>50,000 hour engine refurbishment assumes 16 week usage of lease engine</t>
  </si>
  <si>
    <t>3. Assumes that Owner will not enter the Lease Engine Membership program.</t>
  </si>
  <si>
    <t>4. Maintenance and lease costs from George Graham/GE Mar 2000 e-mail.</t>
  </si>
  <si>
    <t>Operations &amp; Maintenance Cost Estimate</t>
  </si>
  <si>
    <t>Table of Contents</t>
  </si>
  <si>
    <t>Scope</t>
  </si>
  <si>
    <t>Project Scope Description</t>
  </si>
  <si>
    <t>List of Assumptions</t>
  </si>
  <si>
    <t>Summary - Operations &amp; Maintenance Cost Estimate</t>
  </si>
  <si>
    <t>Comparison vs. Other Plants</t>
  </si>
  <si>
    <t>O&amp;M Staff Organization Chart</t>
  </si>
  <si>
    <t>O&amp;M Pre-Mobilization / Mobilization Cost Estimate</t>
  </si>
  <si>
    <t>O&amp;M Staff Mobilization Schedule</t>
  </si>
  <si>
    <t>O&amp;M Staff Mobilization Plan</t>
  </si>
  <si>
    <t>Training Program</t>
  </si>
  <si>
    <t>Assumed Turnkey/Operator/Owner Scope Split</t>
  </si>
  <si>
    <t>Pre-Mob / Mobilization Drawdown Schedule</t>
  </si>
  <si>
    <t>Owners' Engineer</t>
  </si>
  <si>
    <t>Pre-Mob / Mobilization Estimate Backup/Detail</t>
  </si>
  <si>
    <t>Commercial Operations O&amp;M Estimate</t>
  </si>
  <si>
    <t>Staffing Plans</t>
  </si>
  <si>
    <t>Contract &amp; Opns Support Staffing Plan</t>
  </si>
  <si>
    <t>Commercial Office Cost Estimate &amp; Staffing Plan</t>
  </si>
  <si>
    <t>Foreign vs. Local Costs</t>
  </si>
  <si>
    <t>Personnel Benefits</t>
  </si>
  <si>
    <t>O&amp;M Estimate Backup/Detail</t>
  </si>
  <si>
    <t>Major Maintenance Cost Estimate</t>
  </si>
  <si>
    <t>Initial Operating Spares</t>
  </si>
  <si>
    <t>GT Scheduled Major Maint. Program (10 Year term)</t>
  </si>
  <si>
    <t>City of Austin 4 x LM6000 Power Project</t>
  </si>
  <si>
    <t>Scope of Work:</t>
  </si>
  <si>
    <t>Full Operations and Maintenance services during the Pre-Operating and</t>
  </si>
  <si>
    <t xml:space="preserve">Operating Period for one gas-fired LM6000 simple cycle peaking facility </t>
  </si>
  <si>
    <t>Location:</t>
  </si>
  <si>
    <t>Austin, TX</t>
  </si>
  <si>
    <t>Location at approximately 10 miles from two existing operating plants</t>
  </si>
  <si>
    <t>Located on sight of a water treatment plant</t>
  </si>
  <si>
    <t>Ownership:</t>
  </si>
  <si>
    <t>To be owned and operated by City of Austin</t>
  </si>
  <si>
    <t>Capacity:</t>
  </si>
  <si>
    <t xml:space="preserve">MW </t>
  </si>
  <si>
    <t>Equipment:</t>
  </si>
  <si>
    <t>(4) GE LM6000 PC SPRINT Gas Turbine packages with standard combustor (non-DLE)</t>
  </si>
  <si>
    <t>SPRINT water injection assumed at a rate of 7.5 gpm</t>
  </si>
  <si>
    <t>Water injection for NOX control assumed at a rate of 60 gpm</t>
  </si>
  <si>
    <t xml:space="preserve">Water source: </t>
  </si>
  <si>
    <t>Potable water for supply to reverse osmosis process</t>
  </si>
  <si>
    <t>treated water from nearby water treatment plant for cooling tower makeup</t>
  </si>
  <si>
    <t>Demin system: Reverse Osmosis and leased trailer back mounted mixed bed</t>
  </si>
  <si>
    <t>(1) induced draft Cooling Tower with circ. water pumps</t>
  </si>
  <si>
    <t>(8) Chillers with condenser and chilled water pumps</t>
  </si>
  <si>
    <t xml:space="preserve">Distributed Control System at site </t>
  </si>
  <si>
    <t>No remote monitoring or control from other nearby plant sites</t>
  </si>
  <si>
    <t>(4) Selective Catalytic Reduction units</t>
  </si>
  <si>
    <t>No gas compression assumed</t>
  </si>
  <si>
    <t>No gas or electric distribution</t>
  </si>
  <si>
    <t>Facilities:</t>
  </si>
  <si>
    <t>Small Administrative office space, storage</t>
  </si>
  <si>
    <t>Small onsite warehouse with some climate control space</t>
  </si>
  <si>
    <t xml:space="preserve">Maintenance shop with bay </t>
  </si>
  <si>
    <t>Central control room and small lab area</t>
  </si>
  <si>
    <t>Sanitary facilities, to include lockers &amp; showers</t>
  </si>
  <si>
    <t>Fuel:</t>
  </si>
  <si>
    <t>Primary: Pipeline Quality Natural Gas</t>
  </si>
  <si>
    <t>Backup: None</t>
  </si>
  <si>
    <t>Operations Mode:</t>
  </si>
  <si>
    <t>Peaking duty, 1,300 fired hours per year</t>
  </si>
  <si>
    <t>Year round availability requirement (excluding scheduled maintenance)</t>
  </si>
  <si>
    <t>PPA:</t>
  </si>
  <si>
    <t>Enron to contract for 50% of capacity for first 3 years</t>
  </si>
  <si>
    <t>Schedule:</t>
  </si>
  <si>
    <t xml:space="preserve">Commercial Operations Date: </t>
  </si>
  <si>
    <t>Commercial Office:</t>
  </si>
  <si>
    <t>Costs not included</t>
  </si>
  <si>
    <t>Other Facilities:</t>
  </si>
  <si>
    <t>Barge dock on river for fuel deliveries.</t>
  </si>
  <si>
    <t>Owners Engineer:</t>
  </si>
  <si>
    <t>List of O&amp;M Assumptions</t>
  </si>
  <si>
    <t>1) Base year for all costs and prices herein: current 2000 US $ (no escalation or inflation included).</t>
  </si>
  <si>
    <t xml:space="preserve">2) O&amp;M personnel salaries and benefits per Enron experience, with some slight increase in wages due to assumed union labor force. </t>
  </si>
  <si>
    <t>3) Primary fuel to be Pipline Quality Natural Gas only at required operating pressures, with no backup fuel.</t>
  </si>
  <si>
    <t>4) Water injection for Nox control at an assumed rate of 60 gpm; SPRINT at 7.5 gpm.</t>
  </si>
  <si>
    <t>5) Plant to be considered available year round with the exception of scheduled maintenance outages.</t>
  </si>
  <si>
    <t>6) Gas turbine run hours/year: 1,300 hours/year.</t>
  </si>
  <si>
    <t>7)  Gas turbine starts/year:  assumed to be less than 200 per year with the above indicated dispatch schedule.</t>
  </si>
  <si>
    <t>7A)  Type of combustion system to be Standard, non-DLE combustor, with water injection.</t>
  </si>
  <si>
    <t>8) Assume any major schedule maintenance will be performed during off-peak season.</t>
  </si>
  <si>
    <t>9) Gas turbine major scheduled maintenance pricing per GE Pricing catalog (George Graham e-mail dated 3/00).</t>
  </si>
  <si>
    <t xml:space="preserve">10)  Major scheduled maintenance intervals per OEM (GE): Hot Gas Path - 24,000 hrs; Major - 50,000 hours. </t>
  </si>
  <si>
    <t>11) Water Source: Municipal and treated water. TDS is assumed to be 750 ppm. Owner/Originator to provide sample analysis.</t>
  </si>
  <si>
    <t xml:space="preserve">12) Water treatment chemicals costs per inhouse estimating model and performance dept tabulations (no Water Balance available). </t>
  </si>
  <si>
    <t>14) Variable costs are based on 15% annual plant capacity factor.</t>
  </si>
  <si>
    <t>15)  EPC Contract to provide an allowance for GT familiarization and operations training to O&amp;M staff.</t>
  </si>
  <si>
    <t>16)  Spare Parts estimate per GE recommended spares for stand alone domestic project, with some assumed adjustments.</t>
  </si>
  <si>
    <t>17)  Staffing plan assumes that all plant supervision and admin/commercial services to support operation will be from existing City of Austin staff.</t>
  </si>
  <si>
    <t xml:space="preserve">18)  Assumed Scope Split between Turnkey/Startup Contractor and Owner/Operator per enclosed. </t>
  </si>
  <si>
    <t>19) Turnkey Contractor:  Assumed to be EECC.</t>
  </si>
  <si>
    <t>20)  Owners Engineer: Owner's responsibility (estimate not included).</t>
  </si>
  <si>
    <t>21)  Sustaining capital expenses intended to cover only replacement of initial procurement items at end of their useful life.</t>
  </si>
  <si>
    <t>22) Admin staff and support are provided by Operator from home office and other sites.</t>
  </si>
  <si>
    <t>23) Owner to provide Commercial Office function.</t>
  </si>
  <si>
    <t xml:space="preserve">                    </t>
  </si>
  <si>
    <t>Revenue and Property Book Accounting including customer and fuel supplier billing</t>
  </si>
  <si>
    <t>Tax Accounting including preparing Local and US tax returns</t>
  </si>
  <si>
    <t>Annual financial audits by outside auditors.</t>
  </si>
  <si>
    <t xml:space="preserve">Maintaining Bank accounts and treasury functions </t>
  </si>
  <si>
    <t>Commercial contracts and interface with Power Purchasers and Fuel Suppliers</t>
  </si>
  <si>
    <t>Fuel purchasing &amp; supply, logistics and scheduling</t>
  </si>
  <si>
    <t>Government and Public Relations</t>
  </si>
  <si>
    <t>Legal and contractual requirements</t>
  </si>
  <si>
    <t>Project Human resources (compensation and benefits plans)</t>
  </si>
  <si>
    <t>Interface with Lenders and Partners regarding funding and information requests</t>
  </si>
  <si>
    <t>Budgeting, Operating and Capital planning (Operator to provide plans per contract)</t>
  </si>
  <si>
    <t>Fuel or fuel testing</t>
  </si>
  <si>
    <t xml:space="preserve">Water rights and water usage costs </t>
  </si>
  <si>
    <t>Purchased (backfeed) power and other purchased utilities</t>
  </si>
  <si>
    <t xml:space="preserve">Insurance </t>
  </si>
  <si>
    <t>Buildings:  Administration, Warehouse and Shop facilities</t>
  </si>
  <si>
    <t>Operating or Environmental Permits</t>
  </si>
  <si>
    <t>Communications facilities (internal &amp; external)</t>
  </si>
  <si>
    <t>Customs duties, Taxes or VAT</t>
  </si>
  <si>
    <t>Changes in escalation, inflation or exchange rate</t>
  </si>
  <si>
    <t>Emissions, discharge or waste hauling Fees</t>
  </si>
  <si>
    <t>Security (At Owner's discretion)</t>
  </si>
  <si>
    <t>26) Portion of chemical cost estimate assumes usage of leased trailers for mixed bed at a cost of $0.30/M gal.</t>
  </si>
  <si>
    <t>27) Cooling Tower chemicals cost estimate assumes 3 cycles, 34,000 gpm flow rate and 20 deg F range.</t>
  </si>
  <si>
    <t>29) Esimate makes standard assumptions for labor practices. Union labor practices, if required, may differ.</t>
  </si>
  <si>
    <t>(US $)</t>
  </si>
  <si>
    <t>Expenses before Commercial Operation:</t>
  </si>
  <si>
    <t>US $</t>
  </si>
  <si>
    <t>O&amp;M Pre-Mobilization / Mobilization Expenses</t>
  </si>
  <si>
    <t>Pre-Mobilization Expenses</t>
  </si>
  <si>
    <t>Mobilization Payroll and Burden</t>
  </si>
  <si>
    <t>Mobilization Operating Expenses</t>
  </si>
  <si>
    <t>Mobilization Procurement Expenses</t>
  </si>
  <si>
    <t>Total O&amp;M Pre-Mobilization / Mobilization Expenses</t>
  </si>
  <si>
    <t>Housing Colony Mobilization Expenses</t>
  </si>
  <si>
    <t>NA</t>
  </si>
  <si>
    <t xml:space="preserve">Initial Operating Spares </t>
  </si>
  <si>
    <t xml:space="preserve">O&amp;M Mobilization Period Fee </t>
  </si>
  <si>
    <t>Operator Overhead Charge (G&amp;A)</t>
  </si>
  <si>
    <t>Expenses during Commercial Operation:</t>
  </si>
  <si>
    <t>Year 1</t>
  </si>
  <si>
    <t>Years 2+</t>
  </si>
  <si>
    <t>O&amp;M Expenses</t>
  </si>
  <si>
    <t>Payroll and Burden</t>
  </si>
  <si>
    <t>Administration &amp; Operations Expenses</t>
  </si>
  <si>
    <t>Maintenance Expenses (excl. GT Scheduled Maint. Program)</t>
  </si>
  <si>
    <t>Sustaining Capital Expenses</t>
  </si>
  <si>
    <t>Total O&amp;M Expenses (ex GT Scheduled Maint.)</t>
  </si>
  <si>
    <t>GT Lease Program Annual Membership (1 unit)</t>
  </si>
  <si>
    <t>Housing Colony Operating Expenses</t>
  </si>
  <si>
    <t xml:space="preserve">O&amp;M Annual Operating Fee </t>
  </si>
  <si>
    <t>O&amp;M Pre-Mobilization Expenses</t>
  </si>
  <si>
    <t>Mobilization Payroll &amp; Burden</t>
  </si>
  <si>
    <t>Employee Expenses</t>
  </si>
  <si>
    <t>Recruiting Expenses</t>
  </si>
  <si>
    <t>Relocation Expenses</t>
  </si>
  <si>
    <t>Outside Services</t>
  </si>
  <si>
    <t>Other Supplies &amp; Expenses</t>
  </si>
  <si>
    <t>Communications</t>
  </si>
  <si>
    <t>Temporary Offices/Facilities</t>
  </si>
  <si>
    <t>Training</t>
  </si>
  <si>
    <t>Manuals &amp; Procedures</t>
  </si>
  <si>
    <t>Permits</t>
  </si>
  <si>
    <t>Insurance</t>
  </si>
  <si>
    <t>Operations Support Personnel</t>
  </si>
  <si>
    <t>Total Mobilization Operating Expenses</t>
  </si>
  <si>
    <t>Office Furnishings &amp; Equipment</t>
  </si>
  <si>
    <t>Safety &amp; Environmental Equipment</t>
  </si>
  <si>
    <t xml:space="preserve">Vehicles &amp; Mobile Equipment </t>
  </si>
  <si>
    <t>Warehouse Furnishings &amp; Equipment</t>
  </si>
  <si>
    <t>Laboratory Equipment</t>
  </si>
  <si>
    <t>Shop Tools &amp; Equipment</t>
  </si>
  <si>
    <t>Chemicals, Lubricants, Hydraulic Fluids</t>
  </si>
  <si>
    <t>Total Mobilization Procurement Expenses</t>
  </si>
  <si>
    <t>O&amp;M Mobilization Period Fee</t>
  </si>
  <si>
    <t>Staff Mobilization Schedule</t>
  </si>
  <si>
    <t>MOB. MONTHS</t>
  </si>
  <si>
    <t>COD</t>
  </si>
  <si>
    <t>SCHEDULE</t>
  </si>
  <si>
    <t>Commissioning/Startup---------&gt;</t>
  </si>
  <si>
    <t>PLANT MANAGER</t>
  </si>
  <si>
    <t>CLERK</t>
  </si>
  <si>
    <t>O&amp;M SUPERVISOR</t>
  </si>
  <si>
    <t>FACILITY NEEDS</t>
  </si>
  <si>
    <t>ADMINISTRATION FACILITIES</t>
  </si>
  <si>
    <t>OFFICE EQUIPMENT</t>
  </si>
  <si>
    <t>WAREHOUSE/SHOP</t>
  </si>
  <si>
    <t>VEHICLES</t>
  </si>
  <si>
    <t>TRAINING FACILITIES</t>
  </si>
  <si>
    <t>TOOLS AND O&amp;M EQUIPMENT</t>
  </si>
  <si>
    <t>Staff</t>
  </si>
  <si>
    <t>Number</t>
  </si>
  <si>
    <t>Salary &amp;</t>
  </si>
  <si>
    <t>Total Salary</t>
  </si>
  <si>
    <t>No.</t>
  </si>
  <si>
    <t>Area</t>
  </si>
  <si>
    <t>of</t>
  </si>
  <si>
    <t>Benefits</t>
  </si>
  <si>
    <t>&amp; Benefits</t>
  </si>
  <si>
    <t>Personnel</t>
  </si>
  <si>
    <t>A,O or M</t>
  </si>
  <si>
    <t>Months</t>
  </si>
  <si>
    <t>US$/Month</t>
  </si>
  <si>
    <t>A</t>
  </si>
  <si>
    <t>MAINTENANCE MANAGER</t>
  </si>
  <si>
    <t>M</t>
  </si>
  <si>
    <t xml:space="preserve">PURCHASING / WAREHOUSE </t>
  </si>
  <si>
    <t>PLANT SUPERVISOR</t>
  </si>
  <si>
    <t>O,M</t>
  </si>
  <si>
    <t>TECHNICIAN III</t>
  </si>
  <si>
    <t>O</t>
  </si>
  <si>
    <t>TECHNICIAN II</t>
  </si>
  <si>
    <t xml:space="preserve">          Overtime @ 20%</t>
  </si>
  <si>
    <t>TOTALS</t>
  </si>
  <si>
    <t>Note:</t>
  </si>
  <si>
    <t>Class</t>
  </si>
  <si>
    <t>Weeks</t>
  </si>
  <si>
    <t xml:space="preserve"> Weeks</t>
  </si>
  <si>
    <t>$M</t>
  </si>
  <si>
    <t>New Employee Orientation (1 day) *</t>
  </si>
  <si>
    <t>Plant Safety/Environmental/Firefighting (3 days) *</t>
  </si>
  <si>
    <t>Boiler Familiarization &amp; Operation (general vendor)</t>
  </si>
  <si>
    <t>Balance of Plant (general vendor)</t>
  </si>
  <si>
    <t/>
  </si>
  <si>
    <t>Boiler controls (general vendor)</t>
  </si>
  <si>
    <t>Electrical System Maintenance (general vendor)</t>
  </si>
  <si>
    <t>DCS Maint. (equip. vendor)</t>
  </si>
  <si>
    <t>Total Class Training Cost</t>
  </si>
  <si>
    <t>Travel, lodging, facilities, misc.</t>
  </si>
  <si>
    <t>On site Training Coordinator/Instructor (4 wks x $2600/wk incl per diem + $1M travel) *</t>
  </si>
  <si>
    <t>Total Training Cost Estimate</t>
  </si>
  <si>
    <t>Less Training provided by Turnkey/Startup Contractor</t>
  </si>
  <si>
    <t>Net Training Cost Estimate ($M) for Operator/Owner</t>
  </si>
  <si>
    <t>Notes:</t>
  </si>
  <si>
    <t>1. Assumed cost of training (instructor, training materials, aids, manuals, etc.):</t>
  </si>
  <si>
    <t xml:space="preserve">        </t>
  </si>
  <si>
    <t>General Vendor Training - $8M/wk</t>
  </si>
  <si>
    <t>2. The asterisk (*) denotes training and expenses provided by Operator</t>
  </si>
  <si>
    <t>Assumed Turnkey/O&amp;M/Owner Scope Split</t>
  </si>
  <si>
    <t>Turnkey/</t>
  </si>
  <si>
    <t>Startup</t>
  </si>
  <si>
    <t>O&amp;M</t>
  </si>
  <si>
    <t>Owner</t>
  </si>
  <si>
    <t>Remarks/Comments</t>
  </si>
  <si>
    <t>OPERATING EXPENSES (pre-COD):</t>
  </si>
  <si>
    <t>Payroll and Benefits</t>
  </si>
  <si>
    <t xml:space="preserve">    for Owner Personnel</t>
  </si>
  <si>
    <t>x</t>
  </si>
  <si>
    <t xml:space="preserve">    for O&amp;M Personnel</t>
  </si>
  <si>
    <t xml:space="preserve">    for Turnkey/Startup Personnel</t>
  </si>
  <si>
    <t>Employee Expenses/Recruiting/Relocation</t>
  </si>
  <si>
    <t xml:space="preserve">    Vendor reps &amp; startup services</t>
  </si>
  <si>
    <t xml:space="preserve">    Security before COD</t>
  </si>
  <si>
    <t xml:space="preserve">    Security after COD</t>
  </si>
  <si>
    <t xml:space="preserve">    O&amp;M related services</t>
  </si>
  <si>
    <t xml:space="preserve">    Reliability Availability Maintainability (RAM) Study</t>
  </si>
  <si>
    <t>At Owner's discretion</t>
  </si>
  <si>
    <t xml:space="preserve">    Process Hazards Analysis (HAZOP)</t>
  </si>
  <si>
    <t>Communications (phone bills, etc.)</t>
  </si>
  <si>
    <t xml:space="preserve">    for Startup Personnel</t>
  </si>
  <si>
    <t>Offices/Buildings/Facilities (temporary)</t>
  </si>
  <si>
    <t xml:space="preserve">    for O&amp;M Personnel (admin, training, etc.)</t>
  </si>
  <si>
    <t xml:space="preserve">    for Startup/Commissioning Personnel</t>
  </si>
  <si>
    <t>Training for O&amp;M Personnel *</t>
  </si>
  <si>
    <t xml:space="preserve">    OJT during startup/commissioning</t>
  </si>
  <si>
    <t xml:space="preserve">    Basic Power Plant Training (&amp; all other training) </t>
  </si>
  <si>
    <t>Permits/Insurance</t>
  </si>
  <si>
    <t xml:space="preserve">    Construction &amp; Startup Contractor's name</t>
  </si>
  <si>
    <t>need permit matrix</t>
  </si>
  <si>
    <t xml:space="preserve">    Operator's name</t>
  </si>
  <si>
    <t>"</t>
  </si>
  <si>
    <t xml:space="preserve">    Owner's name</t>
  </si>
  <si>
    <t>Manuals, Procedures and Plans</t>
  </si>
  <si>
    <t xml:space="preserve">    Startup/Commissioning Plans &amp; Procedures</t>
  </si>
  <si>
    <t xml:space="preserve">    Job Data books</t>
  </si>
  <si>
    <t xml:space="preserve">    Engineering drawings (incl. "as builts")</t>
  </si>
  <si>
    <t>AutoCad 14 (or apprvd substitute)</t>
  </si>
  <si>
    <t xml:space="preserve">    Systems Descriptions</t>
  </si>
  <si>
    <t xml:space="preserve">    Test procedures &amp; report</t>
  </si>
  <si>
    <t xml:space="preserve">    O&amp;M Procedures</t>
  </si>
  <si>
    <t xml:space="preserve">    Admin and all other Plant procedures</t>
  </si>
  <si>
    <t>Punchlist resolution</t>
  </si>
  <si>
    <t>with O&amp;M walkdown</t>
  </si>
  <si>
    <t>Purchase and transportation of fuel to plant (startup)</t>
  </si>
  <si>
    <t>Schedule fuel deliveries from supplier</t>
  </si>
  <si>
    <t>Purchase of turbine generator startup power (backfeed)</t>
  </si>
  <si>
    <t>Purchase of construction power (from fence line)</t>
  </si>
  <si>
    <t>Purchase and delivery of Process water (hydrotests, etc)</t>
  </si>
  <si>
    <t>Steam Blows</t>
  </si>
  <si>
    <t>na</t>
  </si>
  <si>
    <t>Chemical Cleaning (including disposal)</t>
  </si>
  <si>
    <t>Oil Flushes</t>
  </si>
  <si>
    <t>*  O&amp;M has overall responsibility for training O&amp;M personnel, but Major Equip. Vendor training (for CT,  Chillers, Water</t>
  </si>
  <si>
    <t xml:space="preserve">   Treatment/Desal, and DCS) will be provided under the major equip. purchase orders (with O&amp;M participation in scoping).</t>
  </si>
  <si>
    <t>Warranty Implementation</t>
  </si>
  <si>
    <t>O&amp;M/Owner participate</t>
  </si>
  <si>
    <t>Pre-Mobilization expenses</t>
  </si>
  <si>
    <t xml:space="preserve">    O&amp;M engineering review/comments</t>
  </si>
  <si>
    <t xml:space="preserve">    Operating plans/budgets/estimates</t>
  </si>
  <si>
    <t xml:space="preserve">    Other Owner directed O&amp;M services</t>
  </si>
  <si>
    <t>Fuel/water quality checking (pre-COD)</t>
  </si>
  <si>
    <t>Procurement Expenses:</t>
  </si>
  <si>
    <t xml:space="preserve">    Stationary items (built-ins)</t>
  </si>
  <si>
    <t xml:space="preserve">    PABX (internal) telephone system &amp; wiring</t>
  </si>
  <si>
    <t xml:space="preserve">    LAN wiring</t>
  </si>
  <si>
    <t xml:space="preserve">    External communications (satellite dish)</t>
  </si>
  <si>
    <t xml:space="preserve">    Office/Building furniture</t>
  </si>
  <si>
    <t xml:space="preserve">    Office equipment (copiers, fax, etc.)</t>
  </si>
  <si>
    <t xml:space="preserve">    Computer hardware/software</t>
  </si>
  <si>
    <t xml:space="preserve">    CMMS computer system (incl training)</t>
  </si>
  <si>
    <t>Safety &amp; Environmental equipment</t>
  </si>
  <si>
    <t xml:space="preserve">    Permanent Fire protection</t>
  </si>
  <si>
    <t xml:space="preserve">    Portable fire extinguishers (for offices &amp; buildings)</t>
  </si>
  <si>
    <t xml:space="preserve">    Portable fire extinguishers (exterior)</t>
  </si>
  <si>
    <t xml:space="preserve">    Safety showers/eye washes</t>
  </si>
  <si>
    <t xml:space="preserve">    Permanent Environmental testing equip.</t>
  </si>
  <si>
    <t xml:space="preserve">    Portable Environmental testing equip.</t>
  </si>
  <si>
    <t xml:space="preserve">    O&amp;M Personnel Safety/First Aid  equip.</t>
  </si>
  <si>
    <t>Vehicles &amp; Mobile Equipment</t>
  </si>
  <si>
    <t xml:space="preserve">    Construction/Startup Contractor requirements</t>
  </si>
  <si>
    <t>Warehouse/Shop Furnishings &amp; Equipment</t>
  </si>
  <si>
    <t xml:space="preserve">    Stationary items incl hoists (built-ins)</t>
  </si>
  <si>
    <t xml:space="preserve">    Non-stationary items (bins, furniture, etc.)</t>
  </si>
  <si>
    <t>Process Monitoring &amp; Laboratory Equipment</t>
  </si>
  <si>
    <t xml:space="preserve">    Installed analyzers/instruments</t>
  </si>
  <si>
    <t xml:space="preserve">    Stationary lab items (vent hoods, lab benches, etc.) </t>
  </si>
  <si>
    <t xml:space="preserve">    Analytical equipment, glassware, etc.</t>
  </si>
  <si>
    <t>Shop Tools and Equipment</t>
  </si>
  <si>
    <t xml:space="preserve">    Machine shop/Instrument shop tools</t>
  </si>
  <si>
    <t xml:space="preserve">    Maint. (incl I/C&amp;E) test equipment</t>
  </si>
  <si>
    <t xml:space="preserve">    Work benches, storage bins</t>
  </si>
  <si>
    <t xml:space="preserve">    Hand tools for O&amp;M personnel</t>
  </si>
  <si>
    <t xml:space="preserve">    Hand tools for Startup personnel</t>
  </si>
  <si>
    <t>Special Tools</t>
  </si>
  <si>
    <t xml:space="preserve">    Startup, Std Vendor supply</t>
  </si>
  <si>
    <t xml:space="preserve">    Optional vendor supply</t>
  </si>
  <si>
    <t xml:space="preserve">Incl with Vendor PO </t>
  </si>
  <si>
    <t>Chemicals, Lubricants, Fluids</t>
  </si>
  <si>
    <t xml:space="preserve">    Initial equipment/vessel fill</t>
  </si>
  <si>
    <t xml:space="preserve">    Consumption (pre-COD)</t>
  </si>
  <si>
    <t xml:space="preserve">    Consumption (post-COD)</t>
  </si>
  <si>
    <t xml:space="preserve">    Warehouse stock</t>
  </si>
  <si>
    <t>Spare parts*</t>
  </si>
  <si>
    <t xml:space="preserve">    Capital (Overhaul) Spares for major equip.</t>
  </si>
  <si>
    <t>In Owner's scope to accrue</t>
  </si>
  <si>
    <t xml:space="preserve">    Operating (Initial) Spares for major equip.</t>
  </si>
  <si>
    <t xml:space="preserve">    Warehouse stock &amp; BOP spare parts</t>
  </si>
  <si>
    <t>Installed Cranes</t>
  </si>
  <si>
    <t>* Turbine spare parts will be purchased based on competitive bids as part of and prior to Turbine vendors selection;</t>
  </si>
  <si>
    <t xml:space="preserve">   actual parts purchased will be approved by Owner.</t>
  </si>
  <si>
    <t>EstimateSummary</t>
  </si>
  <si>
    <t>Group Item</t>
  </si>
  <si>
    <t>Budget Item</t>
  </si>
  <si>
    <t>Line Item</t>
  </si>
  <si>
    <t>Detail/Basis</t>
  </si>
  <si>
    <t>Total (US $)</t>
  </si>
  <si>
    <t>LOCAL</t>
  </si>
  <si>
    <t>FOREIGN</t>
  </si>
  <si>
    <t>Calculation and Note Area</t>
  </si>
  <si>
    <t>O&amp;M Pre-Mobilization / Mobilization Estimate Backup/Detail</t>
  </si>
  <si>
    <t>O&amp;M Mobilization BudgetOperating ExpensesPublic Relations Title</t>
  </si>
  <si>
    <t>O&amp;M Mobilization Budget</t>
  </si>
  <si>
    <t>Operating Expenses</t>
  </si>
  <si>
    <t>Public Relations</t>
  </si>
  <si>
    <t>recruiting</t>
  </si>
  <si>
    <t>Recruiting PM</t>
  </si>
  <si>
    <t>payroll</t>
  </si>
  <si>
    <t>Plant Manager - 1 month pay/benefits</t>
  </si>
  <si>
    <t>Travel Expenses in to/fro Houston</t>
  </si>
  <si>
    <t>2 trips x $1000/trip+ $150/day x 30 days</t>
  </si>
  <si>
    <t>miscellaneous</t>
  </si>
  <si>
    <t>O&amp;M Mobilization BudgetOperating ExpensesPublic Relations Total</t>
  </si>
  <si>
    <t>(Assumes Mob period begins COD less 6 months)</t>
  </si>
  <si>
    <t>Sub-Total</t>
  </si>
  <si>
    <t>O&amp;M Mobilization BudgetOperating ExpensesPayroll with burden Title</t>
  </si>
  <si>
    <t>Payroll with burden</t>
  </si>
  <si>
    <t>Total Company Payroll with benefits and 20% overtime on Opns/Maint.</t>
  </si>
  <si>
    <t xml:space="preserve">  (See detailed PltMobStaff schedule)</t>
  </si>
  <si>
    <t>O&amp;M Mobilization BudgetOperating ExpensesPayroll with burden Total</t>
  </si>
  <si>
    <t>O&amp;M Mobilization BudgetOperating ExpensesEmployee Expenses Title</t>
  </si>
  <si>
    <t>Travel related to Plant Mobilization</t>
  </si>
  <si>
    <t>Misc. (OT meals, Conferences,etc.)</t>
  </si>
  <si>
    <t>$200/month x 6 months</t>
  </si>
  <si>
    <t>Dues, Misc</t>
  </si>
  <si>
    <t>O&amp;M Mobilization BudgetOperating ExpensesEmployee Expenses Total</t>
  </si>
  <si>
    <t>O&amp;M Mobilization BudgetOperating ExpensesRecruiting Expenses Title</t>
  </si>
  <si>
    <t>HR/Home office support</t>
  </si>
  <si>
    <t>Advertisements</t>
  </si>
  <si>
    <t>Local</t>
  </si>
  <si>
    <t>Screening Tests</t>
  </si>
  <si>
    <t>$200/employee</t>
  </si>
  <si>
    <t>Misc expenses</t>
  </si>
  <si>
    <t>reproduction, postage, etc</t>
  </si>
  <si>
    <t>O&amp;M Mobilization BudgetOperating ExpensesRecruiting Expenses Total</t>
  </si>
  <si>
    <t>O&amp;M Mobilization BudgetOperating ExpensesRelocation Expenses Title</t>
  </si>
  <si>
    <t>Plant Mgr</t>
  </si>
  <si>
    <t>Technician III (assume 1 needed)</t>
  </si>
  <si>
    <t>cover HHG shipment</t>
  </si>
  <si>
    <t>Technician II (assume 1 needed)</t>
  </si>
  <si>
    <t>Rest of staff assumed obtained locally</t>
  </si>
  <si>
    <t>O&amp;M Mobilization BudgetOperating ExpensesRelocation Expenses Total</t>
  </si>
  <si>
    <t>O&amp;M Mobilization BudgetOperating ExpensesOutside Services Title</t>
  </si>
  <si>
    <t>Guards</t>
  </si>
  <si>
    <t>Turnkey responsibility</t>
  </si>
  <si>
    <t>Groundskeepers</t>
  </si>
  <si>
    <t>Janitors</t>
  </si>
  <si>
    <t>contract</t>
  </si>
  <si>
    <t>Legal</t>
  </si>
  <si>
    <t>Tax</t>
  </si>
  <si>
    <t>Accounting</t>
  </si>
  <si>
    <t>Safety</t>
  </si>
  <si>
    <t>Environmental</t>
  </si>
  <si>
    <t>Management</t>
  </si>
  <si>
    <t>Technical/Professional</t>
  </si>
  <si>
    <t>Trash/Waste Disposal</t>
  </si>
  <si>
    <t>Electrical Testing/Calibration</t>
  </si>
  <si>
    <t>Uniform services</t>
  </si>
  <si>
    <t>Office Equipment Maintenance</t>
  </si>
  <si>
    <t>Warehouse temporaries</t>
  </si>
  <si>
    <t>$20/hr x 160 hrs</t>
  </si>
  <si>
    <t>O&amp;M Mobilization BudgetOperating ExpensesOutside Services Total</t>
  </si>
  <si>
    <t>O&amp;M Mobilization BudgetOperating ExpensesOther Supplies &amp; Expenses Title</t>
  </si>
  <si>
    <t>Postage &amp; Freight</t>
  </si>
  <si>
    <t>$100/month x 6 months</t>
  </si>
  <si>
    <t>Office &amp; Misc. Supplies (usage)</t>
  </si>
  <si>
    <t>$500/month x 5 months</t>
  </si>
  <si>
    <t>Vehicle fuel and maint</t>
  </si>
  <si>
    <t>1 vehicles x 5 months x 1000miles/month x $1.5/14 miles + $500</t>
  </si>
  <si>
    <t>Janitorial Supplies (usage)</t>
  </si>
  <si>
    <t>Bldg. Utilities (water, power, gas)</t>
  </si>
  <si>
    <t>5 months x $500/month</t>
  </si>
  <si>
    <t>O&amp;M Mobilization BudgetOperating ExpensesOther Supplies &amp; Expenses Total</t>
  </si>
  <si>
    <t>O&amp;M Mobilization BudgetOperating ExpensesCommunications Title</t>
  </si>
  <si>
    <t xml:space="preserve">Phone Service </t>
  </si>
  <si>
    <t>5 months x $500/month (excludes cellular service)</t>
  </si>
  <si>
    <t>Cellular Phones</t>
  </si>
  <si>
    <t xml:space="preserve">2ea. x 6 months x $300/month </t>
  </si>
  <si>
    <t>cellular activation fee: 2 ea. $100</t>
  </si>
  <si>
    <t>O&amp;M Mobilization BudgetOperating ExpensesCommunications Total</t>
  </si>
  <si>
    <t>O&amp;M Mobilization BudgetOperating ExpensesMiscellaneous Office Expenses Title</t>
  </si>
  <si>
    <t>Miscellaneous Office Expenses</t>
  </si>
  <si>
    <t>Office Bldgs.</t>
  </si>
  <si>
    <t>Trailers (admin only, ex training)</t>
  </si>
  <si>
    <t>Sanitary facilities</t>
  </si>
  <si>
    <t>Misc. Furnishings</t>
  </si>
  <si>
    <t>Temporary Living Quarters</t>
  </si>
  <si>
    <t>Assume admin facilties complete COD minus 5 months</t>
  </si>
  <si>
    <t>O&amp;M Mobilization BudgetOperating ExpensesMiscellaneous Office Expenses Total</t>
  </si>
  <si>
    <t>O&amp;M Mobilization BudgetOperating ExpensesTraining Title</t>
  </si>
  <si>
    <t>Basic Plant Training</t>
  </si>
  <si>
    <t>See Training sheet</t>
  </si>
  <si>
    <t>Major Systems Training</t>
  </si>
  <si>
    <t>Plant Chemistry</t>
  </si>
  <si>
    <t>Control Room Training</t>
  </si>
  <si>
    <t>Basic Maintenance</t>
  </si>
  <si>
    <t>Electrical/Controls Maintenance</t>
  </si>
  <si>
    <t>Additional Vendor Training</t>
  </si>
  <si>
    <t>Per diem for instructors</t>
  </si>
  <si>
    <t>Facilities (trailer rental, hall)</t>
  </si>
  <si>
    <t xml:space="preserve">Travel </t>
  </si>
  <si>
    <t>Training Coordinator</t>
  </si>
  <si>
    <t>Additional Manuals/Documents</t>
  </si>
  <si>
    <t>Miscellaneous</t>
  </si>
  <si>
    <t>Translation</t>
  </si>
  <si>
    <t>O&amp;M Mobilization BudgetOperating ExpensesTraining Total</t>
  </si>
  <si>
    <t>O&amp;M Mobilization BudgetOperating ExpensesManuals/Operating Procedures Title</t>
  </si>
  <si>
    <t>Manuals/Operating Procedures</t>
  </si>
  <si>
    <t>Administration</t>
  </si>
  <si>
    <t>Operations check lists</t>
  </si>
  <si>
    <t>5P&amp;IDsx 2 mandays each x $400/day</t>
  </si>
  <si>
    <t xml:space="preserve">Maintenance </t>
  </si>
  <si>
    <t>1/2 of Operating procedures</t>
  </si>
  <si>
    <t>Maintenance/CMMS (excluding data)</t>
  </si>
  <si>
    <t>Warehouse/Inventory</t>
  </si>
  <si>
    <t>Emergency Plans</t>
  </si>
  <si>
    <t>40 mandays @$400/manday</t>
  </si>
  <si>
    <t>Safety and Health</t>
  </si>
  <si>
    <t>Environmental Compliance</t>
  </si>
  <si>
    <t>Utility dispatch</t>
  </si>
  <si>
    <t>10 mandays @$400/manday</t>
  </si>
  <si>
    <t>Government Reporting</t>
  </si>
  <si>
    <t>Owner Reports</t>
  </si>
  <si>
    <t>Reproduction/Printing</t>
  </si>
  <si>
    <t>Freight</t>
  </si>
  <si>
    <t>5% of Reproduction cost</t>
  </si>
  <si>
    <t>O&amp;M Mobilization BudgetOperating ExpensesManuals/Operating Procedures Total</t>
  </si>
  <si>
    <t>O&amp;M Mobilization BudgetOperating ExpensesPermits Title</t>
  </si>
  <si>
    <t>Owner's Scope of Supply</t>
  </si>
  <si>
    <t>O&amp;M Mobilization BudgetOperating ExpensesPermits Total</t>
  </si>
  <si>
    <t>O&amp;M Mobilization BudgetOperating ExpensesInsurance Title</t>
  </si>
  <si>
    <t>Operator's Insurance</t>
  </si>
  <si>
    <t>O&amp;M Mobilization BudgetOperating ExpensesInsurance Total</t>
  </si>
  <si>
    <t>1ea.x$350/dayx30days (includes benefits)</t>
  </si>
  <si>
    <t xml:space="preserve">    Per diem </t>
  </si>
  <si>
    <t>1ea.x$125/dayx30days</t>
  </si>
  <si>
    <t xml:space="preserve">    Home leave, travel</t>
  </si>
  <si>
    <t>1ea.x$1000 tripx1trips (coach class)</t>
  </si>
  <si>
    <t>Basis: 1 Operating Engineer as operations support 1 months prior to COD</t>
  </si>
  <si>
    <t>O&amp;M Mobilization BudgetProcurement ExpensesOffice Furnishings, Equipment, Supplies Title</t>
  </si>
  <si>
    <t>Procurement Expenses</t>
  </si>
  <si>
    <t>Office Furnishings, Equipment, Supplies</t>
  </si>
  <si>
    <t>Offices (desk, chair, table, misc)</t>
  </si>
  <si>
    <t>4ea @ $800/set</t>
  </si>
  <si>
    <t>Chairs - misc.</t>
  </si>
  <si>
    <t>10ea @ $150</t>
  </si>
  <si>
    <t>Bookshelves</t>
  </si>
  <si>
    <t>10ea @ $75</t>
  </si>
  <si>
    <t>File Cabinets</t>
  </si>
  <si>
    <t>4ea @ $200</t>
  </si>
  <si>
    <t>Storage Shelves/Cabinets</t>
  </si>
  <si>
    <t>10ea @ $50</t>
  </si>
  <si>
    <t>Conference Room (table &amp; chairs)</t>
  </si>
  <si>
    <t>1ea @ $150 + $1500</t>
  </si>
  <si>
    <t>Lunch Room - Tables</t>
  </si>
  <si>
    <t>1ea @ $150</t>
  </si>
  <si>
    <t>Lunch Room - Chairs</t>
  </si>
  <si>
    <t>6ea @ $75</t>
  </si>
  <si>
    <t>Lunch Room - Microwave</t>
  </si>
  <si>
    <t>1 ea @ $300</t>
  </si>
  <si>
    <t>Lunch Room - Coffee Pot</t>
  </si>
  <si>
    <t>1 ea. @ $150</t>
  </si>
  <si>
    <t>Lunch Room - Refrig.</t>
  </si>
  <si>
    <t>1 ea @ $750</t>
  </si>
  <si>
    <t>Lunch Room - Misc</t>
  </si>
  <si>
    <t>Computer Tables</t>
  </si>
  <si>
    <t>5ea @ $200</t>
  </si>
  <si>
    <t>Computers w printers</t>
  </si>
  <si>
    <t>5ea @ $3000</t>
  </si>
  <si>
    <t>Systems Software</t>
  </si>
  <si>
    <t>5ea @ $500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</si>
</sst>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0">
    <numFmt numFmtId="5" formatCode="&quot;$&quot;#,##0_);\(&quot;$&quot;#,##0\)"/>
    <numFmt numFmtId="6" formatCode="&quot;$&quot;#,##0_);[Red]\(&quot;$&quot;#,##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_);_(* \(#,##0\);_(* &quot;-&quot;??_);_(@_)"/>
    <numFmt numFmtId="171" formatCode="0.0"/>
    <numFmt numFmtId="174" formatCode="0.000"/>
    <numFmt numFmtId="175" formatCode="_(* #,##0.000_);_(* \(#,##0.000\);_(* &quot;-&quot;??_);_(@_)"/>
    <numFmt numFmtId="210" formatCode="_-&quot;£&quot;* #,##0_-;\-&quot;£&quot;* #,##0_-;_-&quot;£&quot;* &quot;-&quot;_-;_-@_-"/>
    <numFmt numFmtId="211" formatCode="_-* #,##0_-;\-* #,##0_-;_-* &quot;-&quot;_-;_-@_-"/>
    <numFmt numFmtId="212" formatCode="_-&quot;£&quot;* #,##0.00_-;\-&quot;£&quot;* #,##0.00_-;_-&quot;£&quot;* &quot;-&quot;??_-;_-@_-"/>
    <numFmt numFmtId="213" formatCode="_-* #,##0.00_-;\-* #,##0.00_-;_-* &quot;-&quot;??_-;_-@_-"/>
    <numFmt numFmtId="214" formatCode="#,##0.000"/>
    <numFmt numFmtId="227" formatCode="mmmm\-yy"/>
    <numFmt numFmtId="228" formatCode="&quot;$&quot;#,##0"/>
    <numFmt numFmtId="230" formatCode="#,##0.000_);\(#,##0.000\)"/>
    <numFmt numFmtId="278" formatCode="&quot;$&quot;#,##0.00"/>
    <numFmt numFmtId="303" formatCode="&quot;$&quot;#,##0;\(&quot;$&quot;#,##0\)"/>
  </numFmts>
  <fonts count="47">
    <font>
      <sz val="10"/>
      <name val="Arial"/>
    </font>
    <font>
      <sz val="10"/>
      <name val="Arial"/>
    </font>
    <font>
      <sz val="10"/>
      <name val="Times New Roman"/>
    </font>
    <font>
      <sz val="12"/>
      <name val="Helv"/>
    </font>
    <font>
      <sz val="12"/>
      <name val="Arial MT"/>
    </font>
    <font>
      <sz val="8"/>
      <name val="Arial"/>
    </font>
    <font>
      <b/>
      <sz val="10"/>
      <name val="Arial"/>
    </font>
    <font>
      <i/>
      <sz val="10"/>
      <name val="Arial"/>
    </font>
    <font>
      <b/>
      <sz val="12"/>
      <color indexed="8"/>
      <name val="Arial"/>
      <family val="2"/>
    </font>
    <font>
      <b/>
      <sz val="12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color indexed="8"/>
      <name val="Arial"/>
    </font>
    <font>
      <b/>
      <u/>
      <sz val="12"/>
      <name val="Arial"/>
      <family val="2"/>
    </font>
    <font>
      <u/>
      <sz val="10"/>
      <name val="Arial"/>
      <family val="2"/>
    </font>
    <font>
      <vertAlign val="superscript"/>
      <sz val="10"/>
      <name val="Arial"/>
      <family val="2"/>
    </font>
    <font>
      <b/>
      <i/>
      <sz val="10"/>
      <name val="Arial"/>
    </font>
    <font>
      <sz val="12"/>
      <name val="Arial"/>
      <family val="2"/>
    </font>
    <font>
      <sz val="10"/>
      <color indexed="20"/>
      <name val="Arial"/>
      <family val="2"/>
    </font>
    <font>
      <b/>
      <u/>
      <sz val="10"/>
      <name val="Arial"/>
      <family val="2"/>
    </font>
    <font>
      <b/>
      <i/>
      <sz val="12"/>
      <name val="Arial"/>
      <family val="2"/>
    </font>
    <font>
      <sz val="14"/>
      <name val="Arial"/>
      <family val="2"/>
    </font>
    <font>
      <b/>
      <i/>
      <sz val="10"/>
      <name val="Arial"/>
      <family val="2"/>
    </font>
    <font>
      <b/>
      <sz val="14"/>
      <name val="Arial"/>
    </font>
    <font>
      <b/>
      <i/>
      <sz val="10"/>
      <color indexed="8"/>
      <name val="Arial"/>
      <family val="2"/>
    </font>
    <font>
      <sz val="10"/>
      <name val="Times New Roman"/>
      <family val="1"/>
    </font>
    <font>
      <b/>
      <sz val="12"/>
      <name val="Arial"/>
      <family val="2"/>
    </font>
    <font>
      <b/>
      <sz val="10"/>
      <name val="Arial MT"/>
    </font>
    <font>
      <b/>
      <sz val="10"/>
      <color indexed="19"/>
      <name val="Arial"/>
      <family val="2"/>
    </font>
    <font>
      <b/>
      <sz val="10"/>
      <color indexed="19"/>
      <name val="Arial MT"/>
    </font>
    <font>
      <b/>
      <sz val="12"/>
      <name val="Arial MT"/>
    </font>
    <font>
      <sz val="10"/>
      <color indexed="19"/>
      <name val="Arial"/>
      <family val="2"/>
    </font>
    <font>
      <sz val="10"/>
      <name val="Arial MT"/>
    </font>
    <font>
      <b/>
      <i/>
      <sz val="12"/>
      <color indexed="8"/>
      <name val="Arial"/>
      <family val="2"/>
    </font>
    <font>
      <sz val="14"/>
      <color indexed="8"/>
      <name val="Arial"/>
      <family val="2"/>
    </font>
    <font>
      <b/>
      <sz val="14"/>
      <color indexed="8"/>
      <name val="Arial"/>
      <family val="2"/>
    </font>
    <font>
      <i/>
      <sz val="10"/>
      <color indexed="8"/>
      <name val="Arial"/>
      <family val="2"/>
    </font>
    <font>
      <b/>
      <sz val="16"/>
      <name val="Arial"/>
      <family val="2"/>
    </font>
    <font>
      <b/>
      <sz val="14"/>
      <name val="Arial"/>
      <family val="2"/>
    </font>
    <font>
      <b/>
      <sz val="14"/>
      <name val="Arial Narrow"/>
      <family val="2"/>
    </font>
    <font>
      <b/>
      <sz val="10"/>
      <color indexed="10"/>
      <name val="Arial"/>
      <family val="2"/>
    </font>
    <font>
      <b/>
      <sz val="12"/>
      <name val="Arial Narrow"/>
      <family val="2"/>
    </font>
    <font>
      <sz val="12"/>
      <name val="Arial Narrow"/>
      <family val="2"/>
    </font>
    <font>
      <b/>
      <sz val="8"/>
      <color indexed="81"/>
      <name val="Tahoma"/>
    </font>
    <font>
      <sz val="8"/>
      <color indexed="81"/>
      <name val="Tahoma"/>
    </font>
  </fonts>
  <fills count="7">
    <fill>
      <patternFill patternType="none"/>
    </fill>
    <fill>
      <patternFill patternType="gray125"/>
    </fill>
    <fill>
      <patternFill patternType="lightUp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</fills>
  <borders count="6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/>
      <diagonal/>
    </border>
    <border>
      <left style="dashed">
        <color indexed="64"/>
      </left>
      <right style="dashed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dashed">
        <color indexed="64"/>
      </right>
      <top style="thin">
        <color indexed="64"/>
      </top>
      <bottom/>
      <diagonal/>
    </border>
    <border>
      <left/>
      <right style="dashed">
        <color indexed="64"/>
      </right>
      <top/>
      <bottom/>
      <diagonal/>
    </border>
    <border>
      <left style="dashed">
        <color indexed="64"/>
      </left>
      <right style="dashed">
        <color indexed="64"/>
      </right>
      <top/>
      <bottom/>
      <diagonal/>
    </border>
    <border>
      <left style="thin">
        <color indexed="64"/>
      </left>
      <right style="dashed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dashed">
        <color indexed="64"/>
      </left>
      <right style="dashed">
        <color indexed="64"/>
      </right>
      <top/>
      <bottom style="thin">
        <color indexed="64"/>
      </bottom>
      <diagonal/>
    </border>
    <border>
      <left/>
      <right style="dashed">
        <color indexed="64"/>
      </right>
      <top/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12"/>
      </left>
      <right style="medium">
        <color indexed="12"/>
      </right>
      <top style="medium">
        <color indexed="12"/>
      </top>
      <bottom style="medium">
        <color indexed="12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/>
      <right style="thin">
        <color indexed="8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7">
    <xf numFmtId="0" fontId="0" fillId="0" borderId="0"/>
    <xf numFmtId="0" fontId="7" fillId="0" borderId="0" applyNumberForma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303" fontId="1" fillId="0" borderId="0" applyNumberFormat="0" applyFont="0" applyFill="0" applyBorder="0" applyAlignment="0" applyProtection="0"/>
    <xf numFmtId="0" fontId="5" fillId="0" borderId="0"/>
    <xf numFmtId="9" fontId="1" fillId="0" borderId="0" applyFont="0" applyFill="0" applyBorder="0" applyAlignment="0" applyProtection="0"/>
  </cellStyleXfs>
  <cellXfs count="478">
    <xf numFmtId="0" fontId="0" fillId="0" borderId="0" xfId="0"/>
    <xf numFmtId="3" fontId="8" fillId="0" borderId="0" xfId="0" applyNumberFormat="1" applyFont="1" applyAlignment="1" applyProtection="1">
      <alignment horizontal="centerContinuous"/>
    </xf>
    <xf numFmtId="0" fontId="0" fillId="0" borderId="0" xfId="0" applyAlignment="1" applyProtection="1">
      <alignment horizontal="centerContinuous"/>
      <protection locked="0"/>
    </xf>
    <xf numFmtId="0" fontId="0" fillId="0" borderId="0" xfId="0" applyProtection="1">
      <protection locked="0"/>
    </xf>
    <xf numFmtId="3" fontId="9" fillId="0" borderId="0" xfId="0" applyNumberFormat="1" applyFont="1" applyAlignment="1" applyProtection="1">
      <alignment horizontal="centerContinuous"/>
      <protection locked="0"/>
    </xf>
    <xf numFmtId="0" fontId="0" fillId="0" borderId="0" xfId="0" applyAlignment="1" applyProtection="1">
      <protection locked="0"/>
    </xf>
    <xf numFmtId="0" fontId="6" fillId="0" borderId="0" xfId="0" applyFont="1" applyAlignment="1" applyProtection="1">
      <protection locked="0"/>
    </xf>
    <xf numFmtId="0" fontId="0" fillId="0" borderId="0" xfId="0" applyAlignment="1" applyProtection="1">
      <alignment horizontal="right"/>
      <protection locked="0"/>
    </xf>
    <xf numFmtId="0" fontId="6" fillId="0" borderId="0" xfId="0" applyFont="1"/>
    <xf numFmtId="0" fontId="0" fillId="0" borderId="0" xfId="0" quotePrefix="1" applyAlignment="1" applyProtection="1">
      <alignment horizontal="right"/>
      <protection locked="0"/>
    </xf>
    <xf numFmtId="3" fontId="9" fillId="0" borderId="0" xfId="0" applyNumberFormat="1" applyFont="1" applyAlignment="1" applyProtection="1">
      <alignment horizontal="centerContinuous"/>
    </xf>
    <xf numFmtId="0" fontId="10" fillId="0" borderId="0" xfId="0" applyFont="1"/>
    <xf numFmtId="0" fontId="0" fillId="0" borderId="0" xfId="0" applyAlignment="1">
      <alignment horizontal="center"/>
    </xf>
    <xf numFmtId="0" fontId="11" fillId="0" borderId="0" xfId="0" applyFont="1"/>
    <xf numFmtId="227" fontId="0" fillId="0" borderId="0" xfId="0" applyNumberFormat="1" applyAlignment="1">
      <alignment horizontal="left"/>
    </xf>
    <xf numFmtId="14" fontId="0" fillId="0" borderId="0" xfId="0" applyNumberFormat="1"/>
    <xf numFmtId="3" fontId="8" fillId="0" borderId="0" xfId="0" applyNumberFormat="1" applyFont="1" applyAlignment="1" applyProtection="1">
      <alignment horizontal="centerContinuous"/>
      <protection locked="0"/>
    </xf>
    <xf numFmtId="3" fontId="12" fillId="0" borderId="0" xfId="0" applyNumberFormat="1" applyFont="1" applyAlignment="1" applyProtection="1">
      <protection locked="0"/>
    </xf>
    <xf numFmtId="3" fontId="12" fillId="0" borderId="0" xfId="0" applyNumberFormat="1" applyFont="1" applyAlignment="1" applyProtection="1">
      <alignment horizontal="centerContinuous"/>
      <protection locked="0"/>
    </xf>
    <xf numFmtId="0" fontId="10" fillId="0" borderId="0" xfId="0" applyFont="1" applyProtection="1"/>
    <xf numFmtId="0" fontId="0" fillId="0" borderId="0" xfId="0" applyBorder="1" applyProtection="1"/>
    <xf numFmtId="0" fontId="12" fillId="0" borderId="0" xfId="0" applyFont="1" applyBorder="1" applyProtection="1">
      <protection locked="0"/>
    </xf>
    <xf numFmtId="0" fontId="12" fillId="0" borderId="0" xfId="0" applyFont="1" applyProtection="1">
      <protection locked="0"/>
    </xf>
    <xf numFmtId="3" fontId="12" fillId="0" borderId="0" xfId="0" applyNumberFormat="1" applyFont="1" applyProtection="1">
      <protection locked="0"/>
    </xf>
    <xf numFmtId="3" fontId="12" fillId="0" borderId="0" xfId="0" applyNumberFormat="1" applyFont="1" applyProtection="1"/>
    <xf numFmtId="0" fontId="11" fillId="0" borderId="0" xfId="0" applyFont="1" applyProtection="1"/>
    <xf numFmtId="0" fontId="11" fillId="0" borderId="0" xfId="0" applyFont="1" applyBorder="1" applyProtection="1"/>
    <xf numFmtId="9" fontId="12" fillId="0" borderId="0" xfId="0" applyNumberFormat="1" applyFont="1" applyProtection="1">
      <protection locked="0"/>
    </xf>
    <xf numFmtId="214" fontId="12" fillId="0" borderId="0" xfId="0" applyNumberFormat="1" applyFont="1" applyProtection="1">
      <protection locked="0"/>
    </xf>
    <xf numFmtId="0" fontId="11" fillId="0" borderId="0" xfId="0" applyFont="1" applyProtection="1">
      <protection locked="0"/>
    </xf>
    <xf numFmtId="0" fontId="12" fillId="0" borderId="0" xfId="0" applyFont="1"/>
    <xf numFmtId="0" fontId="10" fillId="0" borderId="0" xfId="0" applyFont="1" applyBorder="1" applyProtection="1"/>
    <xf numFmtId="0" fontId="13" fillId="0" borderId="0" xfId="0" applyFont="1" applyProtection="1">
      <protection locked="0"/>
    </xf>
    <xf numFmtId="0" fontId="14" fillId="0" borderId="0" xfId="0" applyFont="1" applyProtection="1">
      <protection locked="0"/>
    </xf>
    <xf numFmtId="3" fontId="0" fillId="0" borderId="0" xfId="0" applyNumberFormat="1" applyProtection="1">
      <protection locked="0"/>
    </xf>
    <xf numFmtId="3" fontId="15" fillId="0" borderId="0" xfId="0" applyNumberFormat="1" applyFont="1" applyProtection="1">
      <protection locked="0"/>
    </xf>
    <xf numFmtId="3" fontId="0" fillId="0" borderId="0" xfId="0" applyNumberFormat="1" applyAlignment="1" applyProtection="1">
      <alignment horizontal="center"/>
      <protection locked="0"/>
    </xf>
    <xf numFmtId="3" fontId="0" fillId="0" borderId="0" xfId="0" applyNumberFormat="1" applyBorder="1" applyProtection="1">
      <protection locked="0"/>
    </xf>
    <xf numFmtId="3" fontId="16" fillId="0" borderId="0" xfId="0" applyNumberFormat="1" applyFont="1" applyBorder="1" applyAlignment="1" applyProtection="1">
      <alignment horizontal="center"/>
      <protection locked="0"/>
    </xf>
    <xf numFmtId="3" fontId="0" fillId="0" borderId="1" xfId="0" applyNumberFormat="1" applyBorder="1" applyAlignment="1" applyProtection="1">
      <alignment horizontal="centerContinuous"/>
      <protection locked="0"/>
    </xf>
    <xf numFmtId="0" fontId="6" fillId="0" borderId="0" xfId="0" applyFont="1" applyProtection="1">
      <protection locked="0"/>
    </xf>
    <xf numFmtId="0" fontId="0" fillId="0" borderId="0" xfId="0" applyBorder="1" applyProtection="1">
      <protection locked="0"/>
    </xf>
    <xf numFmtId="0" fontId="0" fillId="0" borderId="0" xfId="0" applyBorder="1" applyAlignment="1" applyProtection="1">
      <alignment horizontal="center"/>
      <protection locked="0"/>
    </xf>
    <xf numFmtId="0" fontId="0" fillId="0" borderId="2" xfId="0" applyBorder="1" applyProtection="1">
      <protection locked="0"/>
    </xf>
    <xf numFmtId="3" fontId="0" fillId="0" borderId="3" xfId="0" applyNumberFormat="1" applyBorder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6" fillId="0" borderId="0" xfId="0" applyFont="1" applyBorder="1" applyProtection="1">
      <protection locked="0"/>
    </xf>
    <xf numFmtId="3" fontId="0" fillId="0" borderId="4" xfId="0" applyNumberFormat="1" applyBorder="1" applyAlignment="1" applyProtection="1">
      <alignment horizontal="center"/>
      <protection locked="0"/>
    </xf>
    <xf numFmtId="0" fontId="6" fillId="0" borderId="0" xfId="0" applyFont="1" applyBorder="1" applyAlignment="1" applyProtection="1">
      <alignment horizontal="center"/>
      <protection locked="0"/>
    </xf>
    <xf numFmtId="3" fontId="0" fillId="0" borderId="0" xfId="0" applyNumberFormat="1" applyBorder="1" applyAlignment="1" applyProtection="1">
      <alignment horizontal="center"/>
      <protection locked="0"/>
    </xf>
    <xf numFmtId="166" fontId="1" fillId="0" borderId="2" xfId="2" applyNumberFormat="1" applyFont="1" applyBorder="1" applyAlignment="1" applyProtection="1">
      <alignment horizontal="center"/>
      <protection locked="0"/>
    </xf>
    <xf numFmtId="166" fontId="1" fillId="0" borderId="3" xfId="2" applyNumberFormat="1" applyBorder="1" applyAlignment="1" applyProtection="1">
      <alignment horizontal="center"/>
      <protection locked="0"/>
    </xf>
    <xf numFmtId="166" fontId="1" fillId="0" borderId="4" xfId="2" applyNumberFormat="1" applyFont="1" applyBorder="1" applyAlignment="1" applyProtection="1">
      <alignment horizontal="center"/>
      <protection locked="0"/>
    </xf>
    <xf numFmtId="166" fontId="1" fillId="0" borderId="0" xfId="2" applyNumberFormat="1" applyBorder="1" applyAlignment="1" applyProtection="1">
      <alignment horizontal="center"/>
      <protection locked="0"/>
    </xf>
    <xf numFmtId="0" fontId="1" fillId="0" borderId="0" xfId="0" applyFont="1" applyBorder="1" applyAlignment="1" applyProtection="1">
      <alignment horizontal="center"/>
      <protection locked="0"/>
    </xf>
    <xf numFmtId="3" fontId="0" fillId="0" borderId="1" xfId="0" applyNumberFormat="1" applyBorder="1" applyAlignment="1" applyProtection="1">
      <alignment horizontal="center"/>
      <protection locked="0"/>
    </xf>
    <xf numFmtId="166" fontId="1" fillId="0" borderId="1" xfId="2" applyNumberFormat="1" applyBorder="1" applyAlignment="1" applyProtection="1">
      <alignment horizontal="center"/>
      <protection locked="0"/>
    </xf>
    <xf numFmtId="166" fontId="11" fillId="0" borderId="4" xfId="2" applyNumberFormat="1" applyFont="1" applyBorder="1" applyAlignment="1" applyProtection="1">
      <alignment horizontal="center"/>
      <protection locked="0"/>
    </xf>
    <xf numFmtId="0" fontId="0" fillId="0" borderId="5" xfId="0" applyBorder="1" applyAlignment="1" applyProtection="1">
      <alignment horizontal="center"/>
      <protection locked="0"/>
    </xf>
    <xf numFmtId="0" fontId="0" fillId="0" borderId="2" xfId="0" applyBorder="1" applyAlignment="1" applyProtection="1">
      <alignment horizontal="center"/>
      <protection locked="0"/>
    </xf>
    <xf numFmtId="0" fontId="0" fillId="0" borderId="6" xfId="0" applyBorder="1" applyAlignment="1" applyProtection="1">
      <alignment horizontal="center"/>
      <protection locked="0"/>
    </xf>
    <xf numFmtId="0" fontId="0" fillId="0" borderId="4" xfId="0" applyBorder="1" applyAlignment="1" applyProtection="1">
      <alignment horizontal="center"/>
      <protection locked="0"/>
    </xf>
    <xf numFmtId="43" fontId="0" fillId="0" borderId="0" xfId="0" applyNumberFormat="1" applyProtection="1">
      <protection locked="0"/>
    </xf>
    <xf numFmtId="0" fontId="0" fillId="0" borderId="0" xfId="0" applyBorder="1" applyAlignment="1" applyProtection="1">
      <alignment horizontal="right"/>
      <protection locked="0"/>
    </xf>
    <xf numFmtId="4" fontId="0" fillId="0" borderId="1" xfId="0" applyNumberFormat="1" applyBorder="1" applyAlignment="1" applyProtection="1">
      <alignment horizontal="center"/>
      <protection locked="0"/>
    </xf>
    <xf numFmtId="4" fontId="0" fillId="0" borderId="0" xfId="0" applyNumberFormat="1" applyBorder="1" applyAlignment="1" applyProtection="1">
      <alignment horizontal="center"/>
      <protection locked="0"/>
    </xf>
    <xf numFmtId="0" fontId="6" fillId="0" borderId="0" xfId="0" applyFont="1" applyBorder="1" applyAlignment="1" applyProtection="1">
      <alignment horizontal="left"/>
      <protection locked="0"/>
    </xf>
    <xf numFmtId="166" fontId="1" fillId="0" borderId="1" xfId="2" applyNumberFormat="1" applyFont="1" applyBorder="1" applyProtection="1">
      <protection locked="0"/>
    </xf>
    <xf numFmtId="0" fontId="10" fillId="0" borderId="0" xfId="0" applyFont="1" applyProtection="1">
      <protection locked="0"/>
    </xf>
    <xf numFmtId="166" fontId="1" fillId="0" borderId="1" xfId="2" applyNumberFormat="1" applyBorder="1" applyProtection="1">
      <protection locked="0"/>
    </xf>
    <xf numFmtId="166" fontId="1" fillId="0" borderId="6" xfId="2" applyNumberFormat="1" applyBorder="1" applyProtection="1">
      <protection locked="0"/>
    </xf>
    <xf numFmtId="166" fontId="1" fillId="0" borderId="4" xfId="2" applyNumberFormat="1" applyBorder="1" applyProtection="1">
      <protection locked="0"/>
    </xf>
    <xf numFmtId="166" fontId="1" fillId="0" borderId="7" xfId="2" applyNumberFormat="1" applyBorder="1" applyProtection="1">
      <protection locked="0"/>
    </xf>
    <xf numFmtId="0" fontId="0" fillId="0" borderId="0" xfId="0" applyProtection="1"/>
    <xf numFmtId="3" fontId="0" fillId="0" borderId="0" xfId="0" applyNumberFormat="1" applyProtection="1"/>
    <xf numFmtId="3" fontId="0" fillId="0" borderId="0" xfId="0" applyNumberFormat="1" applyAlignment="1" applyProtection="1">
      <alignment horizontal="centerContinuous"/>
      <protection locked="0"/>
    </xf>
    <xf numFmtId="3" fontId="18" fillId="0" borderId="0" xfId="0" applyNumberFormat="1" applyFont="1" applyProtection="1">
      <protection locked="0"/>
    </xf>
    <xf numFmtId="3" fontId="7" fillId="0" borderId="0" xfId="0" applyNumberFormat="1" applyFont="1" applyProtection="1">
      <protection locked="0"/>
    </xf>
    <xf numFmtId="3" fontId="16" fillId="0" borderId="0" xfId="0" applyNumberFormat="1" applyFont="1" applyAlignment="1" applyProtection="1">
      <alignment horizontal="center"/>
      <protection locked="0"/>
    </xf>
    <xf numFmtId="3" fontId="6" fillId="0" borderId="1" xfId="0" applyNumberFormat="1" applyFont="1" applyBorder="1" applyAlignment="1" applyProtection="1">
      <alignment horizontal="center"/>
      <protection locked="0"/>
    </xf>
    <xf numFmtId="0" fontId="11" fillId="0" borderId="0" xfId="0" applyFont="1" applyBorder="1" applyAlignment="1" applyProtection="1">
      <alignment horizontal="center"/>
      <protection locked="0"/>
    </xf>
    <xf numFmtId="3" fontId="0" fillId="0" borderId="3" xfId="0" applyNumberFormat="1" applyBorder="1" applyProtection="1">
      <protection locked="0"/>
    </xf>
    <xf numFmtId="0" fontId="0" fillId="0" borderId="3" xfId="0" applyBorder="1" applyProtection="1">
      <protection locked="0"/>
    </xf>
    <xf numFmtId="0" fontId="11" fillId="0" borderId="8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3" fontId="0" fillId="0" borderId="4" xfId="0" applyNumberFormat="1" applyBorder="1" applyProtection="1">
      <protection locked="0"/>
    </xf>
    <xf numFmtId="3" fontId="0" fillId="0" borderId="2" xfId="0" applyNumberFormat="1" applyBorder="1" applyProtection="1">
      <protection locked="0"/>
    </xf>
    <xf numFmtId="3" fontId="0" fillId="0" borderId="2" xfId="0" applyNumberFormat="1" applyBorder="1" applyAlignment="1" applyProtection="1">
      <alignment horizontal="center"/>
      <protection locked="0"/>
    </xf>
    <xf numFmtId="3" fontId="0" fillId="0" borderId="1" xfId="0" applyNumberFormat="1" applyBorder="1" applyProtection="1">
      <protection locked="0"/>
    </xf>
    <xf numFmtId="0" fontId="9" fillId="0" borderId="0" xfId="0" applyFont="1" applyAlignment="1" applyProtection="1">
      <alignment horizontal="centerContinuous"/>
      <protection locked="0"/>
    </xf>
    <xf numFmtId="0" fontId="19" fillId="0" borderId="0" xfId="0" applyFont="1" applyAlignment="1">
      <alignment horizontal="centerContinuous"/>
    </xf>
    <xf numFmtId="0" fontId="19" fillId="0" borderId="0" xfId="0" applyFont="1" applyBorder="1" applyAlignment="1">
      <alignment horizontal="centerContinuous"/>
    </xf>
    <xf numFmtId="0" fontId="19" fillId="0" borderId="0" xfId="0" applyFont="1" applyAlignment="1">
      <alignment horizontal="left"/>
    </xf>
    <xf numFmtId="0" fontId="19" fillId="0" borderId="9" xfId="0" applyFont="1" applyBorder="1" applyAlignment="1">
      <alignment horizontal="left"/>
    </xf>
    <xf numFmtId="0" fontId="19" fillId="0" borderId="10" xfId="0" applyFont="1" applyBorder="1" applyAlignment="1"/>
    <xf numFmtId="0" fontId="19" fillId="0" borderId="11" xfId="0" applyFont="1" applyBorder="1" applyAlignment="1"/>
    <xf numFmtId="0" fontId="19" fillId="0" borderId="11" xfId="0" applyFont="1" applyBorder="1" applyAlignment="1">
      <alignment horizontal="left"/>
    </xf>
    <xf numFmtId="0" fontId="19" fillId="0" borderId="12" xfId="0" applyFont="1" applyBorder="1" applyAlignment="1"/>
    <xf numFmtId="0" fontId="19" fillId="0" borderId="13" xfId="0" applyFont="1" applyBorder="1" applyAlignment="1"/>
    <xf numFmtId="0" fontId="0" fillId="0" borderId="12" xfId="0" applyBorder="1"/>
    <xf numFmtId="0" fontId="0" fillId="0" borderId="10" xfId="0" applyBorder="1"/>
    <xf numFmtId="0" fontId="0" fillId="0" borderId="13" xfId="0" applyBorder="1"/>
    <xf numFmtId="0" fontId="19" fillId="0" borderId="13" xfId="0" applyFont="1" applyBorder="1" applyAlignment="1">
      <alignment horizontal="centerContinuous"/>
    </xf>
    <xf numFmtId="0" fontId="19" fillId="0" borderId="9" xfId="0" applyFont="1" applyBorder="1" applyAlignment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19" fillId="0" borderId="17" xfId="0" applyFont="1" applyBorder="1" applyAlignment="1">
      <alignment horizontal="left"/>
    </xf>
    <xf numFmtId="0" fontId="19" fillId="0" borderId="18" xfId="0" applyFont="1" applyBorder="1" applyAlignment="1">
      <alignment horizontal="left"/>
    </xf>
    <xf numFmtId="0" fontId="19" fillId="0" borderId="19" xfId="0" applyFont="1" applyBorder="1" applyAlignment="1">
      <alignment horizontal="left"/>
    </xf>
    <xf numFmtId="0" fontId="19" fillId="0" borderId="0" xfId="0" applyFont="1" applyBorder="1"/>
    <xf numFmtId="0" fontId="19" fillId="0" borderId="19" xfId="0" applyFont="1" applyBorder="1"/>
    <xf numFmtId="0" fontId="0" fillId="0" borderId="19" xfId="0" applyBorder="1"/>
    <xf numFmtId="0" fontId="19" fillId="0" borderId="18" xfId="0" applyFont="1" applyBorder="1"/>
    <xf numFmtId="0" fontId="0" fillId="0" borderId="18" xfId="0" applyBorder="1"/>
    <xf numFmtId="0" fontId="19" fillId="0" borderId="20" xfId="0" applyFont="1" applyBorder="1"/>
    <xf numFmtId="0" fontId="0" fillId="0" borderId="0" xfId="0" applyBorder="1"/>
    <xf numFmtId="0" fontId="19" fillId="0" borderId="21" xfId="0" applyFont="1" applyBorder="1"/>
    <xf numFmtId="0" fontId="0" fillId="0" borderId="22" xfId="0" applyBorder="1"/>
    <xf numFmtId="0" fontId="0" fillId="0" borderId="23" xfId="0" applyBorder="1"/>
    <xf numFmtId="0" fontId="19" fillId="2" borderId="13" xfId="0" applyFont="1" applyFill="1" applyBorder="1"/>
    <xf numFmtId="0" fontId="19" fillId="2" borderId="11" xfId="0" applyFont="1" applyFill="1" applyBorder="1"/>
    <xf numFmtId="0" fontId="19" fillId="2" borderId="24" xfId="0" applyFont="1" applyFill="1" applyBorder="1"/>
    <xf numFmtId="0" fontId="19" fillId="2" borderId="25" xfId="0" applyFont="1" applyFill="1" applyBorder="1"/>
    <xf numFmtId="0" fontId="19" fillId="2" borderId="26" xfId="0" applyFont="1" applyFill="1" applyBorder="1"/>
    <xf numFmtId="0" fontId="19" fillId="0" borderId="21" xfId="0" applyFont="1" applyFill="1" applyBorder="1"/>
    <xf numFmtId="0" fontId="19" fillId="0" borderId="14" xfId="0" applyFont="1" applyFill="1" applyBorder="1"/>
    <xf numFmtId="0" fontId="19" fillId="0" borderId="17" xfId="0" applyFont="1" applyFill="1" applyBorder="1"/>
    <xf numFmtId="0" fontId="19" fillId="0" borderId="15" xfId="0" applyFont="1" applyFill="1" applyBorder="1"/>
    <xf numFmtId="0" fontId="19" fillId="0" borderId="18" xfId="0" applyFont="1" applyFill="1" applyBorder="1"/>
    <xf numFmtId="0" fontId="19" fillId="0" borderId="19" xfId="0" applyFont="1" applyFill="1" applyBorder="1"/>
    <xf numFmtId="0" fontId="0" fillId="0" borderId="2" xfId="0" applyBorder="1" applyAlignment="1" applyProtection="1">
      <alignment horizontal="centerContinuous"/>
    </xf>
    <xf numFmtId="0" fontId="0" fillId="0" borderId="3" xfId="0" applyBorder="1" applyAlignment="1" applyProtection="1">
      <alignment horizontal="centerContinuous"/>
    </xf>
    <xf numFmtId="0" fontId="0" fillId="0" borderId="4" xfId="0" applyBorder="1" applyAlignment="1" applyProtection="1">
      <alignment horizontal="center"/>
    </xf>
    <xf numFmtId="0" fontId="0" fillId="0" borderId="4" xfId="0" applyBorder="1" applyAlignment="1" applyProtection="1">
      <alignment horizontal="centerContinuous"/>
    </xf>
    <xf numFmtId="0" fontId="0" fillId="0" borderId="2" xfId="0" applyBorder="1" applyAlignment="1" applyProtection="1">
      <alignment horizontal="center"/>
    </xf>
    <xf numFmtId="166" fontId="1" fillId="0" borderId="27" xfId="2" applyNumberFormat="1" applyBorder="1" applyProtection="1"/>
    <xf numFmtId="166" fontId="1" fillId="0" borderId="2" xfId="2" applyNumberFormat="1" applyBorder="1" applyProtection="1"/>
    <xf numFmtId="0" fontId="0" fillId="0" borderId="3" xfId="0" applyFill="1" applyBorder="1" applyAlignment="1" applyProtection="1">
      <alignment horizontal="center"/>
    </xf>
    <xf numFmtId="0" fontId="0" fillId="0" borderId="0" xfId="0" applyFill="1" applyBorder="1" applyAlignment="1" applyProtection="1">
      <alignment horizontal="center"/>
    </xf>
    <xf numFmtId="228" fontId="1" fillId="0" borderId="0" xfId="2" applyNumberFormat="1" applyFont="1" applyBorder="1" applyAlignment="1" applyProtection="1">
      <alignment horizontal="center"/>
    </xf>
    <xf numFmtId="5" fontId="1" fillId="0" borderId="3" xfId="2" applyNumberFormat="1" applyBorder="1" applyAlignment="1" applyProtection="1">
      <alignment horizontal="center"/>
    </xf>
    <xf numFmtId="0" fontId="0" fillId="0" borderId="28" xfId="0" applyBorder="1" applyAlignment="1" applyProtection="1">
      <alignment horizontal="centerContinuous"/>
    </xf>
    <xf numFmtId="5" fontId="1" fillId="0" borderId="28" xfId="2" applyNumberFormat="1" applyBorder="1" applyAlignment="1" applyProtection="1">
      <alignment horizontal="center"/>
    </xf>
    <xf numFmtId="5" fontId="1" fillId="0" borderId="4" xfId="2" applyNumberFormat="1" applyBorder="1" applyAlignment="1" applyProtection="1">
      <alignment horizontal="center"/>
    </xf>
    <xf numFmtId="0" fontId="0" fillId="0" borderId="0" xfId="0" applyBorder="1" applyAlignment="1" applyProtection="1">
      <alignment horizontal="centerContinuous"/>
    </xf>
    <xf numFmtId="5" fontId="1" fillId="0" borderId="0" xfId="2" applyNumberFormat="1" applyBorder="1" applyAlignment="1" applyProtection="1">
      <alignment horizontal="center"/>
    </xf>
    <xf numFmtId="5" fontId="0" fillId="0" borderId="0" xfId="0" applyNumberFormat="1" applyBorder="1" applyAlignment="1" applyProtection="1">
      <alignment horizontal="center"/>
    </xf>
    <xf numFmtId="0" fontId="0" fillId="0" borderId="1" xfId="0" applyBorder="1" applyAlignment="1" applyProtection="1">
      <alignment horizontal="centerContinuous"/>
    </xf>
    <xf numFmtId="0" fontId="0" fillId="0" borderId="29" xfId="0" applyBorder="1" applyAlignment="1" applyProtection="1"/>
    <xf numFmtId="0" fontId="0" fillId="0" borderId="30" xfId="0" applyBorder="1" applyAlignment="1" applyProtection="1"/>
    <xf numFmtId="5" fontId="0" fillId="0" borderId="31" xfId="0" applyNumberFormat="1" applyBorder="1" applyAlignment="1" applyProtection="1">
      <alignment horizontal="center"/>
    </xf>
    <xf numFmtId="5" fontId="20" fillId="0" borderId="1" xfId="2" applyNumberFormat="1" applyFont="1" applyBorder="1" applyAlignment="1" applyProtection="1">
      <alignment horizontal="center"/>
    </xf>
    <xf numFmtId="0" fontId="0" fillId="0" borderId="0" xfId="0" applyAlignment="1" applyProtection="1">
      <alignment horizontal="centerContinuous"/>
    </xf>
    <xf numFmtId="0" fontId="11" fillId="0" borderId="9" xfId="0" applyFont="1" applyBorder="1" applyAlignment="1" applyProtection="1">
      <alignment horizontal="right"/>
      <protection locked="0"/>
    </xf>
    <xf numFmtId="171" fontId="0" fillId="0" borderId="0" xfId="0" applyNumberFormat="1" applyProtection="1">
      <protection locked="0"/>
    </xf>
    <xf numFmtId="166" fontId="1" fillId="0" borderId="0" xfId="2" applyNumberFormat="1" applyProtection="1">
      <protection locked="0"/>
    </xf>
    <xf numFmtId="171" fontId="0" fillId="0" borderId="9" xfId="0" applyNumberFormat="1" applyBorder="1" applyProtection="1">
      <protection locked="0"/>
    </xf>
    <xf numFmtId="166" fontId="1" fillId="0" borderId="9" xfId="2" applyNumberFormat="1" applyBorder="1" applyProtection="1">
      <protection locked="0"/>
    </xf>
    <xf numFmtId="171" fontId="1" fillId="0" borderId="0" xfId="2" applyNumberFormat="1" applyProtection="1">
      <protection locked="0"/>
    </xf>
    <xf numFmtId="1" fontId="1" fillId="0" borderId="9" xfId="2" applyNumberFormat="1" applyBorder="1" applyProtection="1">
      <protection locked="0"/>
    </xf>
    <xf numFmtId="0" fontId="0" fillId="0" borderId="0" xfId="0" quotePrefix="1" applyProtection="1">
      <protection locked="0"/>
    </xf>
    <xf numFmtId="171" fontId="11" fillId="0" borderId="9" xfId="0" applyNumberFormat="1" applyFont="1" applyBorder="1" applyProtection="1">
      <protection locked="0"/>
    </xf>
    <xf numFmtId="166" fontId="11" fillId="0" borderId="9" xfId="2" applyNumberFormat="1" applyFont="1" applyBorder="1" applyProtection="1">
      <protection locked="0"/>
    </xf>
    <xf numFmtId="1" fontId="1" fillId="0" borderId="0" xfId="2" applyNumberFormat="1" applyProtection="1">
      <protection locked="0"/>
    </xf>
    <xf numFmtId="1" fontId="0" fillId="0" borderId="0" xfId="0" applyNumberFormat="1" applyProtection="1">
      <protection locked="0"/>
    </xf>
    <xf numFmtId="0" fontId="1" fillId="0" borderId="0" xfId="0" applyFont="1" applyProtection="1">
      <protection locked="0"/>
    </xf>
    <xf numFmtId="1" fontId="11" fillId="0" borderId="9" xfId="2" applyNumberFormat="1" applyFont="1" applyBorder="1" applyProtection="1">
      <protection locked="0"/>
    </xf>
    <xf numFmtId="166" fontId="11" fillId="0" borderId="0" xfId="2" applyNumberFormat="1" applyFont="1" applyProtection="1">
      <protection locked="0"/>
    </xf>
    <xf numFmtId="22" fontId="0" fillId="0" borderId="0" xfId="0" applyNumberFormat="1" applyProtection="1">
      <protection locked="0"/>
    </xf>
    <xf numFmtId="3" fontId="9" fillId="0" borderId="0" xfId="0" applyNumberFormat="1" applyFont="1" applyAlignment="1">
      <alignment horizontal="centerContinuous"/>
    </xf>
    <xf numFmtId="0" fontId="0" fillId="0" borderId="0" xfId="0" applyAlignment="1">
      <alignment horizontal="centerContinuous"/>
    </xf>
    <xf numFmtId="0" fontId="9" fillId="0" borderId="0" xfId="0" applyFont="1" applyAlignment="1">
      <alignment horizontal="centerContinuous"/>
    </xf>
    <xf numFmtId="0" fontId="10" fillId="0" borderId="9" xfId="0" applyFont="1" applyBorder="1" applyAlignment="1">
      <alignment horizontal="center"/>
    </xf>
    <xf numFmtId="0" fontId="10" fillId="0" borderId="9" xfId="0" applyFont="1" applyBorder="1" applyAlignment="1">
      <alignment horizontal="centerContinuous"/>
    </xf>
    <xf numFmtId="0" fontId="10" fillId="0" borderId="9" xfId="0" applyFont="1" applyBorder="1"/>
    <xf numFmtId="0" fontId="21" fillId="0" borderId="10" xfId="0" applyFont="1" applyBorder="1" applyAlignment="1">
      <alignment horizontal="center"/>
    </xf>
    <xf numFmtId="0" fontId="21" fillId="0" borderId="10" xfId="0" applyFont="1" applyBorder="1" applyAlignment="1"/>
    <xf numFmtId="0" fontId="0" fillId="0" borderId="10" xfId="0" applyBorder="1" applyAlignment="1">
      <alignment horizontal="center"/>
    </xf>
    <xf numFmtId="0" fontId="0" fillId="0" borderId="10" xfId="0" applyBorder="1" applyAlignment="1"/>
    <xf numFmtId="0" fontId="1" fillId="0" borderId="0" xfId="0" applyFont="1"/>
    <xf numFmtId="0" fontId="1" fillId="0" borderId="10" xfId="0" applyFont="1" applyBorder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centerContinuous"/>
    </xf>
    <xf numFmtId="0" fontId="0" fillId="0" borderId="0" xfId="0" quotePrefix="1"/>
    <xf numFmtId="0" fontId="18" fillId="0" borderId="0" xfId="0" applyFont="1" applyProtection="1">
      <protection locked="0"/>
    </xf>
    <xf numFmtId="0" fontId="22" fillId="3" borderId="32" xfId="0" applyFont="1" applyFill="1" applyBorder="1" applyProtection="1">
      <protection locked="0"/>
    </xf>
    <xf numFmtId="0" fontId="22" fillId="3" borderId="33" xfId="0" applyFont="1" applyFill="1" applyBorder="1" applyProtection="1">
      <protection locked="0"/>
    </xf>
    <xf numFmtId="0" fontId="22" fillId="3" borderId="34" xfId="0" applyFont="1" applyFill="1" applyBorder="1" applyProtection="1">
      <protection locked="0"/>
    </xf>
    <xf numFmtId="0" fontId="10" fillId="3" borderId="1" xfId="0" applyFont="1" applyFill="1" applyBorder="1" applyAlignment="1" applyProtection="1">
      <alignment horizontal="centerContinuous" vertical="center"/>
      <protection locked="0"/>
    </xf>
    <xf numFmtId="0" fontId="23" fillId="0" borderId="0" xfId="0" applyFont="1" applyAlignment="1" applyProtection="1">
      <alignment horizontal="left"/>
      <protection locked="0"/>
    </xf>
    <xf numFmtId="3" fontId="9" fillId="4" borderId="27" xfId="0" applyNumberFormat="1" applyFont="1" applyFill="1" applyBorder="1" applyAlignment="1" applyProtection="1">
      <alignment horizontal="left"/>
      <protection locked="0"/>
    </xf>
    <xf numFmtId="0" fontId="22" fillId="4" borderId="27" xfId="0" applyFont="1" applyFill="1" applyBorder="1" applyAlignment="1" applyProtection="1">
      <alignment horizontal="centerContinuous"/>
      <protection locked="0"/>
    </xf>
    <xf numFmtId="0" fontId="24" fillId="4" borderId="35" xfId="0" applyFont="1" applyFill="1" applyBorder="1" applyAlignment="1" applyProtection="1">
      <alignment horizontal="centerContinuous" vertical="center"/>
      <protection locked="0"/>
    </xf>
    <xf numFmtId="0" fontId="25" fillId="4" borderId="6" xfId="0" applyFont="1" applyFill="1" applyBorder="1" applyProtection="1">
      <protection locked="0"/>
    </xf>
    <xf numFmtId="0" fontId="22" fillId="4" borderId="28" xfId="0" applyFont="1" applyFill="1" applyBorder="1" applyProtection="1">
      <protection locked="0"/>
    </xf>
    <xf numFmtId="0" fontId="24" fillId="4" borderId="7" xfId="0" applyFont="1" applyFill="1" applyBorder="1" applyAlignment="1" applyProtection="1">
      <alignment horizontal="centerContinuous" vertical="center"/>
      <protection locked="0"/>
    </xf>
    <xf numFmtId="0" fontId="24" fillId="4" borderId="36" xfId="1" applyFont="1" applyFill="1" applyBorder="1" applyAlignment="1" applyProtection="1">
      <alignment horizontal="left"/>
      <protection locked="0"/>
    </xf>
    <xf numFmtId="0" fontId="18" fillId="4" borderId="37" xfId="0" applyFont="1" applyFill="1" applyBorder="1" applyProtection="1">
      <protection locked="0"/>
    </xf>
    <xf numFmtId="0" fontId="7" fillId="4" borderId="38" xfId="0" applyFont="1" applyFill="1" applyBorder="1" applyProtection="1">
      <protection locked="0"/>
    </xf>
    <xf numFmtId="3" fontId="18" fillId="4" borderId="1" xfId="1" applyNumberFormat="1" applyFont="1" applyFill="1" applyBorder="1" applyProtection="1">
      <protection locked="0"/>
    </xf>
    <xf numFmtId="9" fontId="11" fillId="4" borderId="1" xfId="6" applyFont="1" applyFill="1" applyBorder="1" applyProtection="1">
      <protection locked="0"/>
    </xf>
    <xf numFmtId="0" fontId="7" fillId="0" borderId="0" xfId="1" applyProtection="1">
      <protection locked="0"/>
    </xf>
    <xf numFmtId="0" fontId="0" fillId="0" borderId="39" xfId="0" applyBorder="1" applyProtection="1">
      <protection locked="0"/>
    </xf>
    <xf numFmtId="0" fontId="0" fillId="0" borderId="8" xfId="0" applyBorder="1" applyProtection="1">
      <protection locked="0"/>
    </xf>
    <xf numFmtId="3" fontId="0" fillId="5" borderId="1" xfId="0" applyNumberFormat="1" applyFill="1" applyBorder="1" applyProtection="1">
      <protection locked="0"/>
    </xf>
    <xf numFmtId="0" fontId="18" fillId="3" borderId="40" xfId="1" applyFont="1" applyFill="1" applyBorder="1" applyAlignment="1" applyProtection="1">
      <alignment horizontal="right"/>
      <protection locked="0"/>
    </xf>
    <xf numFmtId="3" fontId="18" fillId="5" borderId="1" xfId="1" applyNumberFormat="1" applyFont="1" applyFill="1" applyBorder="1" applyProtection="1">
      <protection locked="0"/>
    </xf>
    <xf numFmtId="0" fontId="24" fillId="4" borderId="41" xfId="1" applyFont="1" applyFill="1" applyBorder="1" applyAlignment="1" applyProtection="1">
      <alignment horizontal="left"/>
      <protection locked="0"/>
    </xf>
    <xf numFmtId="0" fontId="18" fillId="4" borderId="11" xfId="0" applyFont="1" applyFill="1" applyBorder="1" applyProtection="1">
      <protection locked="0"/>
    </xf>
    <xf numFmtId="0" fontId="7" fillId="4" borderId="13" xfId="0" applyFont="1" applyFill="1" applyBorder="1" applyProtection="1">
      <protection locked="0"/>
    </xf>
    <xf numFmtId="0" fontId="7" fillId="4" borderId="8" xfId="0" applyFont="1" applyFill="1" applyBorder="1" applyProtection="1">
      <protection locked="0"/>
    </xf>
    <xf numFmtId="9" fontId="11" fillId="4" borderId="1" xfId="0" applyNumberFormat="1" applyFont="1" applyFill="1" applyBorder="1" applyProtection="1">
      <protection locked="0"/>
    </xf>
    <xf numFmtId="0" fontId="7" fillId="4" borderId="31" xfId="0" applyFont="1" applyFill="1" applyBorder="1" applyProtection="1">
      <protection locked="0"/>
    </xf>
    <xf numFmtId="0" fontId="7" fillId="0" borderId="0" xfId="1" applyNumberFormat="1" applyProtection="1">
      <protection locked="0"/>
    </xf>
    <xf numFmtId="0" fontId="0" fillId="0" borderId="39" xfId="0" applyFill="1" applyBorder="1" applyProtection="1"/>
    <xf numFmtId="0" fontId="0" fillId="0" borderId="0" xfId="0" applyFill="1" applyBorder="1" applyProtection="1"/>
    <xf numFmtId="0" fontId="18" fillId="4" borderId="41" xfId="1" applyFont="1" applyFill="1" applyBorder="1" applyAlignment="1" applyProtection="1">
      <alignment horizontal="left"/>
      <protection locked="0"/>
    </xf>
    <xf numFmtId="0" fontId="7" fillId="4" borderId="11" xfId="1" applyFill="1" applyBorder="1" applyProtection="1">
      <protection locked="0"/>
    </xf>
    <xf numFmtId="0" fontId="18" fillId="4" borderId="13" xfId="1" applyFont="1" applyFill="1" applyBorder="1" applyAlignment="1" applyProtection="1">
      <alignment horizontal="right"/>
      <protection locked="0"/>
    </xf>
    <xf numFmtId="0" fontId="12" fillId="0" borderId="39" xfId="0" applyFont="1" applyBorder="1" applyProtection="1">
      <protection locked="0"/>
    </xf>
    <xf numFmtId="0" fontId="12" fillId="0" borderId="8" xfId="0" applyFont="1" applyBorder="1" applyProtection="1">
      <protection locked="0"/>
    </xf>
    <xf numFmtId="3" fontId="12" fillId="5" borderId="1" xfId="0" applyNumberFormat="1" applyFont="1" applyFill="1" applyBorder="1" applyProtection="1">
      <protection locked="0"/>
    </xf>
    <xf numFmtId="3" fontId="11" fillId="5" borderId="1" xfId="1" applyNumberFormat="1" applyFont="1" applyFill="1" applyBorder="1" applyProtection="1">
      <protection locked="0"/>
    </xf>
    <xf numFmtId="0" fontId="26" fillId="3" borderId="40" xfId="1" applyFont="1" applyFill="1" applyBorder="1" applyAlignment="1" applyProtection="1">
      <alignment horizontal="right"/>
      <protection locked="0"/>
    </xf>
    <xf numFmtId="3" fontId="26" fillId="5" borderId="1" xfId="1" applyNumberFormat="1" applyFont="1" applyFill="1" applyBorder="1" applyProtection="1">
      <protection locked="0"/>
    </xf>
    <xf numFmtId="0" fontId="11" fillId="0" borderId="39" xfId="0" applyFont="1" applyBorder="1" applyProtection="1">
      <protection locked="0"/>
    </xf>
    <xf numFmtId="0" fontId="11" fillId="0" borderId="0" xfId="0" applyFont="1" applyBorder="1" applyProtection="1">
      <protection locked="0"/>
    </xf>
    <xf numFmtId="0" fontId="11" fillId="0" borderId="8" xfId="0" applyFont="1" applyBorder="1" applyProtection="1">
      <protection locked="0"/>
    </xf>
    <xf numFmtId="3" fontId="11" fillId="5" borderId="1" xfId="0" applyNumberFormat="1" applyFont="1" applyFill="1" applyBorder="1" applyProtection="1">
      <protection locked="0"/>
    </xf>
    <xf numFmtId="6" fontId="11" fillId="0" borderId="8" xfId="0" applyNumberFormat="1" applyFont="1" applyBorder="1" applyProtection="1">
      <protection locked="0"/>
    </xf>
    <xf numFmtId="6" fontId="11" fillId="0" borderId="8" xfId="0" applyNumberFormat="1" applyFont="1" applyBorder="1" applyAlignment="1" applyProtection="1">
      <alignment horizontal="left"/>
      <protection locked="0"/>
    </xf>
    <xf numFmtId="0" fontId="1" fillId="0" borderId="0" xfId="5" applyFont="1" applyBorder="1"/>
    <xf numFmtId="5" fontId="1" fillId="0" borderId="0" xfId="5" applyNumberFormat="1" applyFont="1" applyBorder="1"/>
    <xf numFmtId="0" fontId="11" fillId="0" borderId="39" xfId="5" applyFont="1" applyBorder="1"/>
    <xf numFmtId="0" fontId="11" fillId="0" borderId="0" xfId="5" applyFont="1" applyBorder="1"/>
    <xf numFmtId="5" fontId="11" fillId="0" borderId="0" xfId="5" applyNumberFormat="1" applyFont="1" applyBorder="1"/>
    <xf numFmtId="0" fontId="27" fillId="0" borderId="39" xfId="0" applyFont="1" applyBorder="1" applyProtection="1">
      <protection locked="0"/>
    </xf>
    <xf numFmtId="9" fontId="11" fillId="0" borderId="0" xfId="0" applyNumberFormat="1" applyFont="1" applyBorder="1" applyProtection="1">
      <protection locked="0"/>
    </xf>
    <xf numFmtId="0" fontId="11" fillId="0" borderId="42" xfId="0" applyFont="1" applyBorder="1" applyProtection="1">
      <protection locked="0"/>
    </xf>
    <xf numFmtId="0" fontId="11" fillId="0" borderId="9" xfId="0" applyFont="1" applyBorder="1" applyProtection="1">
      <protection locked="0"/>
    </xf>
    <xf numFmtId="0" fontId="24" fillId="3" borderId="40" xfId="1" applyFont="1" applyFill="1" applyBorder="1" applyAlignment="1" applyProtection="1">
      <alignment horizontal="right"/>
      <protection locked="0"/>
    </xf>
    <xf numFmtId="3" fontId="24" fillId="5" borderId="1" xfId="1" applyNumberFormat="1" applyFont="1" applyFill="1" applyBorder="1" applyProtection="1">
      <protection locked="0"/>
    </xf>
    <xf numFmtId="0" fontId="0" fillId="0" borderId="42" xfId="0" applyBorder="1" applyProtection="1">
      <protection locked="0"/>
    </xf>
    <xf numFmtId="0" fontId="0" fillId="0" borderId="9" xfId="0" applyBorder="1" applyProtection="1">
      <protection locked="0"/>
    </xf>
    <xf numFmtId="9" fontId="0" fillId="0" borderId="8" xfId="0" applyNumberFormat="1" applyBorder="1" applyProtection="1">
      <protection locked="0"/>
    </xf>
    <xf numFmtId="9" fontId="1" fillId="5" borderId="1" xfId="6" applyFill="1" applyBorder="1" applyProtection="1">
      <protection locked="0"/>
    </xf>
    <xf numFmtId="9" fontId="18" fillId="5" borderId="1" xfId="6" applyFont="1" applyFill="1" applyBorder="1" applyProtection="1">
      <protection locked="0"/>
    </xf>
    <xf numFmtId="10" fontId="0" fillId="0" borderId="0" xfId="0" applyNumberFormat="1" applyBorder="1" applyAlignment="1" applyProtection="1">
      <alignment horizontal="left"/>
      <protection locked="0"/>
    </xf>
    <xf numFmtId="0" fontId="0" fillId="0" borderId="6" xfId="0" applyBorder="1" applyProtection="1">
      <protection locked="0"/>
    </xf>
    <xf numFmtId="0" fontId="0" fillId="0" borderId="28" xfId="0" applyBorder="1" applyProtection="1">
      <protection locked="0"/>
    </xf>
    <xf numFmtId="0" fontId="18" fillId="3" borderId="43" xfId="1" applyFont="1" applyFill="1" applyBorder="1" applyAlignment="1" applyProtection="1">
      <alignment horizontal="right"/>
      <protection locked="0"/>
    </xf>
    <xf numFmtId="0" fontId="7" fillId="0" borderId="0" xfId="0" applyFont="1" applyProtection="1">
      <protection locked="0"/>
    </xf>
    <xf numFmtId="0" fontId="0" fillId="0" borderId="5" xfId="0" applyBorder="1"/>
    <xf numFmtId="0" fontId="0" fillId="0" borderId="2" xfId="0" applyBorder="1"/>
    <xf numFmtId="0" fontId="16" fillId="0" borderId="0" xfId="0" applyFont="1" applyBorder="1" applyAlignment="1" applyProtection="1">
      <alignment horizontal="center"/>
      <protection locked="0"/>
    </xf>
    <xf numFmtId="3" fontId="6" fillId="0" borderId="6" xfId="0" applyNumberFormat="1" applyFont="1" applyBorder="1" applyAlignment="1" applyProtection="1">
      <alignment horizontal="centerContinuous"/>
      <protection locked="0"/>
    </xf>
    <xf numFmtId="3" fontId="6" fillId="0" borderId="4" xfId="0" applyNumberFormat="1" applyFont="1" applyBorder="1" applyAlignment="1" applyProtection="1">
      <alignment horizontal="center"/>
      <protection locked="0"/>
    </xf>
    <xf numFmtId="0" fontId="0" fillId="0" borderId="35" xfId="0" applyBorder="1" applyProtection="1">
      <protection locked="0"/>
    </xf>
    <xf numFmtId="3" fontId="0" fillId="0" borderId="8" xfId="0" applyNumberFormat="1" applyBorder="1" applyProtection="1">
      <protection locked="0"/>
    </xf>
    <xf numFmtId="0" fontId="6" fillId="0" borderId="0" xfId="0" quotePrefix="1" applyFont="1" applyBorder="1" applyProtection="1">
      <protection locked="0"/>
    </xf>
    <xf numFmtId="166" fontId="1" fillId="0" borderId="0" xfId="2" applyNumberFormat="1" applyBorder="1" applyProtection="1">
      <protection locked="0"/>
    </xf>
    <xf numFmtId="166" fontId="0" fillId="0" borderId="0" xfId="0" applyNumberFormat="1" applyBorder="1" applyAlignment="1" applyProtection="1">
      <alignment horizontal="left"/>
      <protection locked="0"/>
    </xf>
    <xf numFmtId="166" fontId="0" fillId="0" borderId="1" xfId="0" applyNumberFormat="1" applyBorder="1" applyAlignment="1" applyProtection="1">
      <alignment horizontal="center"/>
      <protection locked="0"/>
    </xf>
    <xf numFmtId="0" fontId="9" fillId="0" borderId="0" xfId="0" applyFont="1" applyAlignment="1">
      <alignment horizontal="center"/>
    </xf>
    <xf numFmtId="0" fontId="9" fillId="0" borderId="0" xfId="0" applyFont="1" applyBorder="1"/>
    <xf numFmtId="0" fontId="0" fillId="0" borderId="2" xfId="0" applyBorder="1" applyAlignment="1">
      <alignment horizontal="center"/>
    </xf>
    <xf numFmtId="0" fontId="0" fillId="0" borderId="2" xfId="0" applyBorder="1" applyAlignment="1" applyProtection="1">
      <alignment horizontal="centerContinuous"/>
      <protection locked="0"/>
    </xf>
    <xf numFmtId="0" fontId="0" fillId="0" borderId="4" xfId="0" applyBorder="1" applyAlignment="1">
      <alignment horizontal="center"/>
    </xf>
    <xf numFmtId="0" fontId="0" fillId="0" borderId="4" xfId="0" applyBorder="1" applyAlignment="1" applyProtection="1">
      <alignment horizontal="centerContinuous"/>
      <protection locked="0"/>
    </xf>
    <xf numFmtId="0" fontId="0" fillId="0" borderId="4" xfId="0" applyBorder="1" applyAlignment="1">
      <alignment horizontal="centerContinuous"/>
    </xf>
    <xf numFmtId="0" fontId="18" fillId="0" borderId="0" xfId="0" applyFont="1" applyBorder="1"/>
    <xf numFmtId="0" fontId="0" fillId="0" borderId="3" xfId="0" applyBorder="1" applyAlignment="1">
      <alignment horizontal="center"/>
    </xf>
    <xf numFmtId="0" fontId="0" fillId="0" borderId="3" xfId="0" applyBorder="1"/>
    <xf numFmtId="228" fontId="0" fillId="0" borderId="3" xfId="0" applyNumberFormat="1" applyBorder="1" applyAlignment="1">
      <alignment horizontal="center"/>
    </xf>
    <xf numFmtId="228" fontId="1" fillId="0" borderId="3" xfId="2" applyNumberFormat="1" applyBorder="1"/>
    <xf numFmtId="228" fontId="1" fillId="0" borderId="3" xfId="2" applyNumberFormat="1" applyBorder="1" applyAlignment="1">
      <alignment horizontal="center"/>
    </xf>
    <xf numFmtId="278" fontId="0" fillId="0" borderId="3" xfId="0" applyNumberFormat="1" applyBorder="1" applyAlignment="1">
      <alignment horizontal="center"/>
    </xf>
    <xf numFmtId="228" fontId="0" fillId="0" borderId="3" xfId="0" applyNumberFormat="1" applyBorder="1" applyAlignment="1">
      <alignment horizontal="centerContinuous"/>
    </xf>
    <xf numFmtId="0" fontId="1" fillId="0" borderId="3" xfId="0" applyFont="1" applyBorder="1" applyAlignment="1">
      <alignment horizontal="center"/>
    </xf>
    <xf numFmtId="0" fontId="1" fillId="0" borderId="0" xfId="0" applyFont="1" applyBorder="1"/>
    <xf numFmtId="0" fontId="11" fillId="0" borderId="4" xfId="0" applyFont="1" applyBorder="1" applyAlignment="1">
      <alignment horizontal="center"/>
    </xf>
    <xf numFmtId="228" fontId="11" fillId="0" borderId="3" xfId="0" applyNumberFormat="1" applyFont="1" applyBorder="1" applyAlignment="1">
      <alignment horizontal="centerContinuous"/>
    </xf>
    <xf numFmtId="228" fontId="0" fillId="0" borderId="3" xfId="0" applyNumberFormat="1" applyBorder="1"/>
    <xf numFmtId="0" fontId="6" fillId="0" borderId="0" xfId="0" applyFont="1" applyBorder="1"/>
    <xf numFmtId="0" fontId="6" fillId="0" borderId="1" xfId="0" applyFont="1" applyBorder="1" applyAlignment="1">
      <alignment horizontal="center"/>
    </xf>
    <xf numFmtId="228" fontId="0" fillId="0" borderId="1" xfId="0" applyNumberFormat="1" applyBorder="1"/>
    <xf numFmtId="228" fontId="6" fillId="0" borderId="1" xfId="2" applyNumberFormat="1" applyFont="1" applyBorder="1"/>
    <xf numFmtId="0" fontId="0" fillId="0" borderId="0" xfId="0" applyBorder="1" applyAlignment="1">
      <alignment horizontal="center"/>
    </xf>
    <xf numFmtId="166" fontId="1" fillId="0" borderId="0" xfId="2" applyNumberFormat="1" applyBorder="1"/>
    <xf numFmtId="43" fontId="1" fillId="0" borderId="0" xfId="2" applyNumberFormat="1" applyBorder="1"/>
    <xf numFmtId="0" fontId="28" fillId="0" borderId="0" xfId="0" applyFont="1" applyAlignment="1">
      <alignment horizontal="centerContinuous"/>
    </xf>
    <xf numFmtId="0" fontId="6" fillId="0" borderId="0" xfId="0" applyFont="1" applyAlignment="1">
      <alignment horizontal="centerContinuous"/>
    </xf>
    <xf numFmtId="0" fontId="0" fillId="5" borderId="0" xfId="0" applyFill="1" applyAlignment="1" applyProtection="1">
      <alignment horizontal="center"/>
    </xf>
    <xf numFmtId="5" fontId="0" fillId="0" borderId="0" xfId="0" applyNumberFormat="1" applyAlignment="1" applyProtection="1">
      <alignment horizontal="center"/>
    </xf>
    <xf numFmtId="0" fontId="28" fillId="0" borderId="0" xfId="0" applyFont="1" applyProtection="1"/>
    <xf numFmtId="0" fontId="11" fillId="0" borderId="44" xfId="0" applyFont="1" applyBorder="1" applyProtection="1"/>
    <xf numFmtId="230" fontId="11" fillId="0" borderId="44" xfId="0" applyNumberFormat="1" applyFont="1" applyBorder="1" applyProtection="1"/>
    <xf numFmtId="0" fontId="10" fillId="0" borderId="45" xfId="0" applyFont="1" applyBorder="1" applyAlignment="1" applyProtection="1">
      <alignment horizontal="center"/>
    </xf>
    <xf numFmtId="230" fontId="10" fillId="0" borderId="46" xfId="0" applyNumberFormat="1" applyFont="1" applyBorder="1" applyAlignment="1" applyProtection="1">
      <alignment horizontal="center"/>
    </xf>
    <xf numFmtId="0" fontId="10" fillId="0" borderId="46" xfId="0" applyFont="1" applyBorder="1" applyAlignment="1" applyProtection="1">
      <alignment horizontal="center"/>
    </xf>
    <xf numFmtId="0" fontId="10" fillId="0" borderId="47" xfId="0" applyFont="1" applyBorder="1" applyAlignment="1" applyProtection="1">
      <alignment horizontal="center"/>
    </xf>
    <xf numFmtId="0" fontId="0" fillId="0" borderId="48" xfId="0" applyBorder="1" applyProtection="1"/>
    <xf numFmtId="0" fontId="10" fillId="0" borderId="49" xfId="0" applyFont="1" applyBorder="1" applyAlignment="1" applyProtection="1">
      <alignment horizontal="center"/>
    </xf>
    <xf numFmtId="0" fontId="10" fillId="0" borderId="50" xfId="0" applyFont="1" applyBorder="1" applyAlignment="1" applyProtection="1">
      <alignment horizontal="center"/>
    </xf>
    <xf numFmtId="9" fontId="10" fillId="0" borderId="50" xfId="0" applyNumberFormat="1" applyFont="1" applyBorder="1" applyAlignment="1" applyProtection="1">
      <alignment horizontal="center"/>
    </xf>
    <xf numFmtId="9" fontId="10" fillId="0" borderId="0" xfId="0" applyNumberFormat="1" applyFont="1" applyBorder="1" applyAlignment="1" applyProtection="1">
      <alignment horizontal="center"/>
    </xf>
    <xf numFmtId="0" fontId="0" fillId="0" borderId="51" xfId="0" applyBorder="1" applyProtection="1"/>
    <xf numFmtId="0" fontId="10" fillId="0" borderId="0" xfId="0" applyFont="1" applyBorder="1" applyAlignment="1" applyProtection="1">
      <alignment horizontal="center"/>
    </xf>
    <xf numFmtId="230" fontId="10" fillId="0" borderId="50" xfId="0" applyNumberFormat="1" applyFont="1" applyBorder="1" applyAlignment="1" applyProtection="1">
      <alignment horizontal="center"/>
    </xf>
    <xf numFmtId="0" fontId="29" fillId="0" borderId="51" xfId="0" applyFont="1" applyBorder="1" applyAlignment="1" applyProtection="1">
      <alignment horizontal="center"/>
    </xf>
    <xf numFmtId="10" fontId="30" fillId="5" borderId="0" xfId="6" applyNumberFormat="1" applyFont="1" applyFill="1" applyBorder="1" applyAlignment="1" applyProtection="1">
      <alignment horizontal="center"/>
    </xf>
    <xf numFmtId="230" fontId="10" fillId="0" borderId="0" xfId="0" applyNumberFormat="1" applyFont="1" applyBorder="1" applyAlignment="1" applyProtection="1">
      <alignment horizontal="center"/>
    </xf>
    <xf numFmtId="0" fontId="0" fillId="0" borderId="52" xfId="0" applyBorder="1" applyProtection="1"/>
    <xf numFmtId="0" fontId="32" fillId="0" borderId="10" xfId="0" applyFont="1" applyBorder="1" applyAlignment="1" applyProtection="1">
      <alignment horizontal="center"/>
    </xf>
    <xf numFmtId="0" fontId="10" fillId="0" borderId="10" xfId="0" applyFont="1" applyBorder="1" applyAlignment="1" applyProtection="1">
      <alignment horizontal="center"/>
    </xf>
    <xf numFmtId="230" fontId="10" fillId="0" borderId="10" xfId="0" applyNumberFormat="1" applyFont="1" applyBorder="1" applyAlignment="1" applyProtection="1">
      <alignment horizontal="center"/>
    </xf>
    <xf numFmtId="0" fontId="0" fillId="0" borderId="10" xfId="0" applyBorder="1" applyProtection="1"/>
    <xf numFmtId="0" fontId="0" fillId="0" borderId="10" xfId="0" applyBorder="1" applyAlignment="1" applyProtection="1">
      <alignment horizontal="left"/>
    </xf>
    <xf numFmtId="39" fontId="33" fillId="5" borderId="10" xfId="0" applyNumberFormat="1" applyFont="1" applyFill="1" applyBorder="1" applyProtection="1"/>
    <xf numFmtId="230" fontId="11" fillId="0" borderId="10" xfId="0" applyNumberFormat="1" applyFont="1" applyBorder="1" applyProtection="1"/>
    <xf numFmtId="166" fontId="11" fillId="0" borderId="10" xfId="2" applyNumberFormat="1" applyFont="1" applyBorder="1" applyProtection="1"/>
    <xf numFmtId="0" fontId="34" fillId="0" borderId="10" xfId="0" applyFont="1" applyBorder="1" applyAlignment="1" applyProtection="1">
      <alignment horizontal="left"/>
    </xf>
    <xf numFmtId="39" fontId="33" fillId="5" borderId="0" xfId="0" applyNumberFormat="1" applyFont="1" applyFill="1" applyProtection="1"/>
    <xf numFmtId="39" fontId="11" fillId="0" borderId="0" xfId="0" applyNumberFormat="1" applyFont="1" applyProtection="1"/>
    <xf numFmtId="0" fontId="10" fillId="0" borderId="48" xfId="0" applyFont="1" applyBorder="1" applyAlignment="1" applyProtection="1">
      <alignment horizontal="center"/>
    </xf>
    <xf numFmtId="0" fontId="10" fillId="0" borderId="51" xfId="0" applyFont="1" applyBorder="1" applyAlignment="1" applyProtection="1">
      <alignment horizontal="center"/>
    </xf>
    <xf numFmtId="10" fontId="10" fillId="0" borderId="50" xfId="6" applyNumberFormat="1" applyFont="1" applyBorder="1" applyAlignment="1" applyProtection="1">
      <alignment horizontal="center"/>
    </xf>
    <xf numFmtId="44" fontId="10" fillId="0" borderId="50" xfId="6" applyNumberFormat="1" applyFont="1" applyBorder="1" applyAlignment="1" applyProtection="1">
      <alignment horizontal="center"/>
    </xf>
    <xf numFmtId="230" fontId="10" fillId="0" borderId="52" xfId="0" applyNumberFormat="1" applyFont="1" applyBorder="1" applyAlignment="1" applyProtection="1">
      <alignment horizontal="center"/>
    </xf>
    <xf numFmtId="39" fontId="11" fillId="0" borderId="10" xfId="0" applyNumberFormat="1" applyFont="1" applyBorder="1" applyProtection="1"/>
    <xf numFmtId="14" fontId="12" fillId="0" borderId="0" xfId="0" applyNumberFormat="1" applyFont="1" applyProtection="1">
      <protection locked="0"/>
    </xf>
    <xf numFmtId="0" fontId="35" fillId="3" borderId="32" xfId="0" applyFont="1" applyFill="1" applyBorder="1" applyProtection="1">
      <protection locked="0"/>
    </xf>
    <xf numFmtId="0" fontId="35" fillId="3" borderId="33" xfId="0" applyFont="1" applyFill="1" applyBorder="1" applyProtection="1">
      <protection locked="0"/>
    </xf>
    <xf numFmtId="0" fontId="35" fillId="3" borderId="34" xfId="0" applyFont="1" applyFill="1" applyBorder="1" applyProtection="1">
      <protection locked="0"/>
    </xf>
    <xf numFmtId="0" fontId="36" fillId="0" borderId="0" xfId="0" applyFont="1" applyAlignment="1" applyProtection="1">
      <alignment horizontal="left"/>
      <protection locked="0"/>
    </xf>
    <xf numFmtId="0" fontId="12" fillId="0" borderId="0" xfId="0" applyFont="1" applyAlignment="1" applyProtection="1">
      <alignment horizontal="center"/>
      <protection locked="0"/>
    </xf>
    <xf numFmtId="3" fontId="37" fillId="4" borderId="27" xfId="0" applyNumberFormat="1" applyFont="1" applyFill="1" applyBorder="1" applyAlignment="1" applyProtection="1">
      <alignment horizontal="left"/>
      <protection locked="0"/>
    </xf>
    <xf numFmtId="0" fontId="12" fillId="4" borderId="27" xfId="0" applyFont="1" applyFill="1" applyBorder="1" applyAlignment="1" applyProtection="1">
      <alignment horizontal="centerContinuous"/>
      <protection locked="0"/>
    </xf>
    <xf numFmtId="0" fontId="26" fillId="4" borderId="27" xfId="1" applyFont="1" applyFill="1" applyBorder="1" applyAlignment="1" applyProtection="1">
      <alignment horizontal="centerContinuous"/>
      <protection locked="0"/>
    </xf>
    <xf numFmtId="0" fontId="38" fillId="0" borderId="0" xfId="1" applyFont="1" applyProtection="1">
      <protection locked="0"/>
    </xf>
    <xf numFmtId="0" fontId="37" fillId="4" borderId="6" xfId="0" applyFont="1" applyFill="1" applyBorder="1" applyProtection="1">
      <protection locked="0"/>
    </xf>
    <xf numFmtId="0" fontId="12" fillId="4" borderId="28" xfId="0" applyFont="1" applyFill="1" applyBorder="1" applyProtection="1">
      <protection locked="0"/>
    </xf>
    <xf numFmtId="0" fontId="26" fillId="4" borderId="28" xfId="1" applyFont="1" applyFill="1" applyBorder="1" applyAlignment="1" applyProtection="1">
      <alignment horizontal="right"/>
      <protection locked="0"/>
    </xf>
    <xf numFmtId="0" fontId="26" fillId="4" borderId="36" xfId="1" applyFont="1" applyFill="1" applyBorder="1" applyAlignment="1" applyProtection="1">
      <alignment horizontal="left"/>
      <protection locked="0"/>
    </xf>
    <xf numFmtId="0" fontId="38" fillId="4" borderId="37" xfId="1" applyFont="1" applyFill="1" applyBorder="1" applyProtection="1">
      <protection locked="0"/>
    </xf>
    <xf numFmtId="0" fontId="26" fillId="4" borderId="38" xfId="1" applyFont="1" applyFill="1" applyBorder="1" applyAlignment="1" applyProtection="1">
      <alignment horizontal="right"/>
      <protection locked="0"/>
    </xf>
    <xf numFmtId="3" fontId="26" fillId="4" borderId="1" xfId="1" applyNumberFormat="1" applyFont="1" applyFill="1" applyBorder="1" applyProtection="1">
      <protection locked="0"/>
    </xf>
    <xf numFmtId="166" fontId="12" fillId="0" borderId="8" xfId="2" applyNumberFormat="1" applyFont="1" applyBorder="1" applyProtection="1">
      <protection locked="0"/>
    </xf>
    <xf numFmtId="166" fontId="12" fillId="0" borderId="0" xfId="2" applyNumberFormat="1" applyFont="1" applyProtection="1">
      <protection locked="0"/>
    </xf>
    <xf numFmtId="0" fontId="26" fillId="4" borderId="41" xfId="1" applyFont="1" applyFill="1" applyBorder="1" applyAlignment="1" applyProtection="1">
      <alignment horizontal="left"/>
      <protection locked="0"/>
    </xf>
    <xf numFmtId="0" fontId="38" fillId="4" borderId="11" xfId="1" applyFont="1" applyFill="1" applyBorder="1" applyProtection="1">
      <protection locked="0"/>
    </xf>
    <xf numFmtId="0" fontId="26" fillId="4" borderId="13" xfId="1" applyFont="1" applyFill="1" applyBorder="1" applyAlignment="1" applyProtection="1">
      <alignment horizontal="right"/>
      <protection locked="0"/>
    </xf>
    <xf numFmtId="9" fontId="12" fillId="0" borderId="8" xfId="6" applyFont="1" applyBorder="1" applyProtection="1">
      <protection locked="0"/>
    </xf>
    <xf numFmtId="9" fontId="12" fillId="0" borderId="8" xfId="0" applyNumberFormat="1" applyFont="1" applyBorder="1" applyProtection="1">
      <protection locked="0"/>
    </xf>
    <xf numFmtId="6" fontId="12" fillId="0" borderId="0" xfId="0" applyNumberFormat="1" applyFont="1" applyAlignment="1" applyProtection="1">
      <alignment horizontal="left"/>
      <protection locked="0"/>
    </xf>
    <xf numFmtId="0" fontId="13" fillId="0" borderId="0" xfId="0" applyFont="1" applyBorder="1" applyProtection="1">
      <protection locked="0"/>
    </xf>
    <xf numFmtId="3" fontId="38" fillId="0" borderId="0" xfId="1" applyNumberFormat="1" applyFont="1" applyProtection="1">
      <protection locked="0"/>
    </xf>
    <xf numFmtId="0" fontId="26" fillId="4" borderId="53" xfId="1" applyFont="1" applyFill="1" applyBorder="1" applyAlignment="1" applyProtection="1">
      <alignment horizontal="left"/>
      <protection locked="0"/>
    </xf>
    <xf numFmtId="0" fontId="38" fillId="4" borderId="10" xfId="1" applyFont="1" applyFill="1" applyBorder="1" applyProtection="1">
      <protection locked="0"/>
    </xf>
    <xf numFmtId="0" fontId="26" fillId="4" borderId="40" xfId="1" applyFont="1" applyFill="1" applyBorder="1" applyAlignment="1" applyProtection="1">
      <alignment horizontal="right"/>
      <protection locked="0"/>
    </xf>
    <xf numFmtId="44" fontId="12" fillId="0" borderId="8" xfId="3" applyFont="1" applyBorder="1" applyProtection="1">
      <protection locked="0"/>
    </xf>
    <xf numFmtId="6" fontId="12" fillId="0" borderId="8" xfId="0" applyNumberFormat="1" applyFont="1" applyBorder="1" applyProtection="1">
      <protection locked="0"/>
    </xf>
    <xf numFmtId="0" fontId="26" fillId="3" borderId="43" xfId="1" applyFont="1" applyFill="1" applyBorder="1" applyAlignment="1" applyProtection="1">
      <alignment horizontal="right"/>
      <protection locked="0"/>
    </xf>
    <xf numFmtId="0" fontId="13" fillId="0" borderId="39" xfId="0" applyFont="1" applyBorder="1" applyProtection="1">
      <protection locked="0"/>
    </xf>
    <xf numFmtId="0" fontId="12" fillId="0" borderId="6" xfId="0" applyFont="1" applyBorder="1" applyProtection="1">
      <protection locked="0"/>
    </xf>
    <xf numFmtId="0" fontId="12" fillId="0" borderId="28" xfId="0" applyFont="1" applyBorder="1" applyProtection="1">
      <protection locked="0"/>
    </xf>
    <xf numFmtId="41" fontId="12" fillId="0" borderId="0" xfId="0" applyNumberFormat="1" applyFont="1" applyAlignment="1" applyProtection="1">
      <alignment horizontal="right"/>
      <protection locked="0"/>
    </xf>
    <xf numFmtId="0" fontId="38" fillId="0" borderId="0" xfId="0" applyFont="1" applyProtection="1">
      <protection locked="0"/>
    </xf>
    <xf numFmtId="3" fontId="39" fillId="0" borderId="0" xfId="0" applyNumberFormat="1" applyFont="1" applyAlignment="1">
      <alignment horizontal="center"/>
    </xf>
    <xf numFmtId="0" fontId="40" fillId="0" borderId="0" xfId="0" applyFont="1" applyAlignment="1">
      <alignment horizontal="center"/>
    </xf>
    <xf numFmtId="0" fontId="40" fillId="0" borderId="5" xfId="0" applyFont="1" applyBorder="1"/>
    <xf numFmtId="0" fontId="0" fillId="0" borderId="27" xfId="0" applyBorder="1"/>
    <xf numFmtId="0" fontId="40" fillId="0" borderId="1" xfId="0" applyFont="1" applyBorder="1" applyAlignment="1">
      <alignment horizontal="center"/>
    </xf>
    <xf numFmtId="0" fontId="40" fillId="0" borderId="27" xfId="0" applyFont="1" applyBorder="1"/>
    <xf numFmtId="0" fontId="0" fillId="0" borderId="35" xfId="0" applyBorder="1"/>
    <xf numFmtId="0" fontId="40" fillId="0" borderId="39" xfId="0" applyFont="1" applyBorder="1"/>
    <xf numFmtId="228" fontId="41" fillId="0" borderId="0" xfId="0" applyNumberFormat="1" applyFont="1" applyBorder="1" applyAlignment="1">
      <alignment horizontal="right"/>
    </xf>
    <xf numFmtId="0" fontId="25" fillId="0" borderId="0" xfId="0" applyFont="1" applyBorder="1"/>
    <xf numFmtId="0" fontId="0" fillId="0" borderId="8" xfId="0" applyBorder="1"/>
    <xf numFmtId="0" fontId="0" fillId="0" borderId="39" xfId="0" applyBorder="1"/>
    <xf numFmtId="0" fontId="23" fillId="0" borderId="0" xfId="0" applyFont="1" applyBorder="1"/>
    <xf numFmtId="228" fontId="41" fillId="0" borderId="0" xfId="0" applyNumberFormat="1" applyFont="1" applyBorder="1" applyAlignment="1"/>
    <xf numFmtId="278" fontId="41" fillId="0" borderId="54" xfId="0" applyNumberFormat="1" applyFont="1" applyBorder="1" applyAlignment="1">
      <alignment horizontal="center"/>
    </xf>
    <xf numFmtId="0" fontId="0" fillId="0" borderId="6" xfId="0" applyBorder="1"/>
    <xf numFmtId="0" fontId="0" fillId="0" borderId="28" xfId="0" applyBorder="1"/>
    <xf numFmtId="0" fontId="0" fillId="0" borderId="7" xfId="0" applyBorder="1"/>
    <xf numFmtId="0" fontId="28" fillId="0" borderId="39" xfId="0" applyFont="1" applyBorder="1"/>
    <xf numFmtId="228" fontId="0" fillId="0" borderId="0" xfId="0" applyNumberFormat="1" applyBorder="1" applyAlignment="1">
      <alignment horizontal="center"/>
    </xf>
    <xf numFmtId="228" fontId="28" fillId="0" borderId="52" xfId="0" applyNumberFormat="1" applyFont="1" applyBorder="1" applyAlignment="1">
      <alignment horizontal="center"/>
    </xf>
    <xf numFmtId="228" fontId="0" fillId="0" borderId="27" xfId="0" applyNumberFormat="1" applyBorder="1" applyAlignment="1">
      <alignment horizontal="center"/>
    </xf>
    <xf numFmtId="0" fontId="6" fillId="0" borderId="39" xfId="4" applyNumberFormat="1" applyFont="1" applyBorder="1"/>
    <xf numFmtId="0" fontId="1" fillId="0" borderId="0" xfId="4" applyNumberFormat="1" applyBorder="1" applyAlignment="1">
      <alignment horizontal="center"/>
    </xf>
    <xf numFmtId="0" fontId="1" fillId="0" borderId="0" xfId="4" applyNumberFormat="1" applyBorder="1"/>
    <xf numFmtId="6" fontId="10" fillId="6" borderId="10" xfId="4" applyNumberFormat="1" applyFont="1" applyFill="1" applyBorder="1" applyAlignment="1">
      <alignment horizontal="right"/>
    </xf>
    <xf numFmtId="0" fontId="10" fillId="0" borderId="0" xfId="4" applyNumberFormat="1" applyFont="1" applyBorder="1" applyAlignment="1">
      <alignment horizontal="center"/>
    </xf>
    <xf numFmtId="228" fontId="0" fillId="0" borderId="0" xfId="0" applyNumberFormat="1" applyBorder="1" applyAlignment="1">
      <alignment horizontal="left"/>
    </xf>
    <xf numFmtId="0" fontId="10" fillId="0" borderId="0" xfId="4" applyNumberFormat="1" applyFont="1" applyBorder="1" applyAlignment="1">
      <alignment horizontal="left"/>
    </xf>
    <xf numFmtId="6" fontId="42" fillId="6" borderId="10" xfId="4" applyNumberFormat="1" applyFont="1" applyFill="1" applyBorder="1" applyAlignment="1">
      <alignment horizontal="right"/>
    </xf>
    <xf numFmtId="0" fontId="11" fillId="0" borderId="0" xfId="4" applyNumberFormat="1" applyFont="1" applyBorder="1" applyAlignment="1">
      <alignment horizontal="left"/>
    </xf>
    <xf numFmtId="0" fontId="0" fillId="0" borderId="39" xfId="0" applyBorder="1" applyAlignment="1">
      <alignment horizontal="right"/>
    </xf>
    <xf numFmtId="9" fontId="10" fillId="0" borderId="0" xfId="0" applyNumberFormat="1" applyFont="1" applyBorder="1"/>
    <xf numFmtId="0" fontId="10" fillId="0" borderId="12" xfId="0" applyFont="1" applyBorder="1" applyAlignment="1">
      <alignment horizontal="center"/>
    </xf>
    <xf numFmtId="0" fontId="10" fillId="0" borderId="13" xfId="0" applyFont="1" applyBorder="1"/>
    <xf numFmtId="3" fontId="0" fillId="0" borderId="10" xfId="0" applyNumberFormat="1" applyBorder="1" applyAlignment="1">
      <alignment horizontal="center"/>
    </xf>
    <xf numFmtId="228" fontId="0" fillId="0" borderId="10" xfId="0" applyNumberFormat="1" applyBorder="1" applyAlignment="1">
      <alignment horizontal="center"/>
    </xf>
    <xf numFmtId="0" fontId="43" fillId="0" borderId="39" xfId="0" applyFont="1" applyBorder="1" applyAlignment="1">
      <alignment horizontal="right"/>
    </xf>
    <xf numFmtId="228" fontId="43" fillId="0" borderId="0" xfId="0" applyNumberFormat="1" applyFont="1" applyBorder="1" applyAlignment="1">
      <alignment horizontal="center"/>
    </xf>
    <xf numFmtId="228" fontId="10" fillId="0" borderId="1" xfId="0" applyNumberFormat="1" applyFont="1" applyBorder="1"/>
    <xf numFmtId="0" fontId="44" fillId="0" borderId="39" xfId="0" applyFont="1" applyBorder="1"/>
    <xf numFmtId="228" fontId="0" fillId="0" borderId="8" xfId="0" applyNumberFormat="1" applyBorder="1"/>
    <xf numFmtId="0" fontId="40" fillId="0" borderId="4" xfId="0" applyFont="1" applyBorder="1" applyAlignment="1">
      <alignment horizontal="center"/>
    </xf>
    <xf numFmtId="0" fontId="40" fillId="0" borderId="0" xfId="0" applyFont="1" applyBorder="1"/>
    <xf numFmtId="228" fontId="41" fillId="0" borderId="54" xfId="0" applyNumberFormat="1" applyFont="1" applyBorder="1" applyAlignment="1">
      <alignment horizontal="center"/>
    </xf>
    <xf numFmtId="0" fontId="28" fillId="0" borderId="5" xfId="0" applyFont="1" applyBorder="1"/>
    <xf numFmtId="228" fontId="28" fillId="0" borderId="27" xfId="0" applyNumberFormat="1" applyFont="1" applyBorder="1" applyAlignment="1">
      <alignment horizontal="center"/>
    </xf>
    <xf numFmtId="6" fontId="0" fillId="0" borderId="0" xfId="0" applyNumberFormat="1" applyProtection="1">
      <protection locked="0"/>
    </xf>
    <xf numFmtId="1" fontId="0" fillId="0" borderId="0" xfId="0" applyNumberFormat="1"/>
    <xf numFmtId="0" fontId="10" fillId="0" borderId="42" xfId="0" applyFont="1" applyBorder="1" applyAlignment="1">
      <alignment horizontal="center"/>
    </xf>
    <xf numFmtId="0" fontId="10" fillId="0" borderId="55" xfId="0" applyFont="1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8" xfId="0" applyBorder="1" applyAlignment="1">
      <alignment horizontal="center"/>
    </xf>
    <xf numFmtId="10" fontId="31" fillId="5" borderId="52" xfId="6" applyNumberFormat="1" applyFont="1" applyFill="1" applyBorder="1" applyAlignment="1" applyProtection="1">
      <alignment horizontal="center"/>
    </xf>
    <xf numFmtId="3" fontId="0" fillId="0" borderId="0" xfId="0" applyNumberFormat="1" applyBorder="1" applyAlignment="1">
      <alignment horizontal="center"/>
    </xf>
    <xf numFmtId="44" fontId="0" fillId="0" borderId="8" xfId="3" applyFont="1" applyBorder="1" applyAlignment="1">
      <alignment horizontal="center"/>
    </xf>
    <xf numFmtId="3" fontId="0" fillId="0" borderId="0" xfId="0" applyNumberFormat="1" applyBorder="1"/>
    <xf numFmtId="44" fontId="0" fillId="0" borderId="8" xfId="3" applyFont="1" applyBorder="1"/>
    <xf numFmtId="44" fontId="0" fillId="0" borderId="1" xfId="0" applyNumberFormat="1" applyBorder="1"/>
    <xf numFmtId="3" fontId="0" fillId="0" borderId="3" xfId="0" applyNumberFormat="1" applyBorder="1" applyAlignment="1">
      <alignment horizontal="center"/>
    </xf>
    <xf numFmtId="3" fontId="0" fillId="0" borderId="3" xfId="0" applyNumberFormat="1" applyBorder="1" applyAlignment="1">
      <alignment horizontal="centerContinuous"/>
    </xf>
    <xf numFmtId="3" fontId="11" fillId="0" borderId="3" xfId="0" applyNumberFormat="1" applyFont="1" applyBorder="1" applyAlignment="1">
      <alignment horizontal="centerContinuous"/>
    </xf>
    <xf numFmtId="0" fontId="10" fillId="0" borderId="56" xfId="0" applyFont="1" applyBorder="1" applyAlignment="1" applyProtection="1">
      <alignment horizontal="center"/>
    </xf>
    <xf numFmtId="10" fontId="30" fillId="5" borderId="57" xfId="6" applyNumberFormat="1" applyFont="1" applyFill="1" applyBorder="1" applyAlignment="1" applyProtection="1">
      <alignment horizontal="center"/>
    </xf>
    <xf numFmtId="44" fontId="30" fillId="5" borderId="57" xfId="3" applyFont="1" applyFill="1" applyBorder="1" applyAlignment="1" applyProtection="1">
      <alignment horizontal="center"/>
    </xf>
    <xf numFmtId="10" fontId="30" fillId="5" borderId="58" xfId="6" applyNumberFormat="1" applyFont="1" applyFill="1" applyBorder="1" applyAlignment="1" applyProtection="1">
      <alignment horizontal="center"/>
    </xf>
    <xf numFmtId="39" fontId="0" fillId="0" borderId="0" xfId="0" applyNumberFormat="1" applyProtection="1"/>
    <xf numFmtId="0" fontId="10" fillId="0" borderId="2" xfId="0" applyFont="1" applyBorder="1" applyAlignment="1">
      <alignment horizontal="center"/>
    </xf>
    <xf numFmtId="3" fontId="10" fillId="0" borderId="0" xfId="0" applyNumberFormat="1" applyFont="1"/>
    <xf numFmtId="166" fontId="11" fillId="0" borderId="0" xfId="2" applyNumberFormat="1" applyFont="1" applyBorder="1" applyAlignment="1" applyProtection="1">
      <alignment horizontal="center"/>
      <protection locked="0"/>
    </xf>
    <xf numFmtId="214" fontId="0" fillId="0" borderId="0" xfId="0" applyNumberFormat="1" applyBorder="1" applyProtection="1">
      <protection locked="0"/>
    </xf>
    <xf numFmtId="0" fontId="10" fillId="0" borderId="6" xfId="0" applyFont="1" applyBorder="1" applyAlignment="1" applyProtection="1">
      <alignment horizontal="center"/>
      <protection locked="0"/>
    </xf>
    <xf numFmtId="0" fontId="10" fillId="0" borderId="7" xfId="0" applyFont="1" applyBorder="1" applyAlignment="1" applyProtection="1">
      <alignment horizontal="center"/>
      <protection locked="0"/>
    </xf>
    <xf numFmtId="0" fontId="0" fillId="0" borderId="5" xfId="0" applyBorder="1" applyProtection="1">
      <protection locked="0"/>
    </xf>
    <xf numFmtId="174" fontId="0" fillId="0" borderId="39" xfId="0" applyNumberFormat="1" applyBorder="1" applyProtection="1">
      <protection locked="0"/>
    </xf>
    <xf numFmtId="174" fontId="0" fillId="0" borderId="8" xfId="0" applyNumberFormat="1" applyBorder="1" applyProtection="1">
      <protection locked="0"/>
    </xf>
    <xf numFmtId="174" fontId="0" fillId="0" borderId="6" xfId="0" applyNumberFormat="1" applyBorder="1" applyProtection="1">
      <protection locked="0"/>
    </xf>
    <xf numFmtId="3" fontId="0" fillId="0" borderId="39" xfId="0" applyNumberFormat="1" applyBorder="1" applyProtection="1">
      <protection locked="0"/>
    </xf>
    <xf numFmtId="3" fontId="0" fillId="0" borderId="6" xfId="0" applyNumberFormat="1" applyBorder="1" applyAlignment="1" applyProtection="1">
      <alignment horizontal="center"/>
      <protection locked="0"/>
    </xf>
    <xf numFmtId="3" fontId="0" fillId="0" borderId="39" xfId="0" applyNumberFormat="1" applyBorder="1" applyAlignment="1" applyProtection="1">
      <alignment horizontal="center"/>
      <protection locked="0"/>
    </xf>
    <xf numFmtId="174" fontId="0" fillId="0" borderId="7" xfId="0" applyNumberFormat="1" applyBorder="1" applyProtection="1">
      <protection locked="0"/>
    </xf>
    <xf numFmtId="43" fontId="0" fillId="0" borderId="29" xfId="0" applyNumberFormat="1" applyBorder="1" applyProtection="1">
      <protection locked="0"/>
    </xf>
    <xf numFmtId="3" fontId="0" fillId="0" borderId="31" xfId="0" applyNumberFormat="1" applyBorder="1" applyProtection="1">
      <protection locked="0"/>
    </xf>
    <xf numFmtId="214" fontId="0" fillId="0" borderId="1" xfId="0" applyNumberFormat="1" applyBorder="1" applyAlignment="1" applyProtection="1">
      <alignment horizontal="center"/>
      <protection locked="0"/>
    </xf>
    <xf numFmtId="214" fontId="0" fillId="0" borderId="4" xfId="0" applyNumberFormat="1" applyBorder="1" applyAlignment="1" applyProtection="1">
      <alignment horizontal="center"/>
      <protection locked="0"/>
    </xf>
    <xf numFmtId="175" fontId="1" fillId="0" borderId="1" xfId="2" applyNumberFormat="1" applyBorder="1" applyAlignment="1" applyProtection="1">
      <alignment horizontal="center"/>
      <protection locked="0"/>
    </xf>
    <xf numFmtId="0" fontId="12" fillId="0" borderId="0" xfId="0" applyFont="1" applyAlignment="1" applyProtection="1">
      <alignment wrapText="1"/>
      <protection locked="0"/>
    </xf>
    <xf numFmtId="0" fontId="0" fillId="0" borderId="0" xfId="0" applyAlignment="1">
      <alignment wrapText="1"/>
    </xf>
    <xf numFmtId="0" fontId="11" fillId="0" borderId="0" xfId="0" applyFont="1" applyAlignment="1" applyProtection="1">
      <alignment wrapText="1"/>
    </xf>
    <xf numFmtId="0" fontId="10" fillId="0" borderId="5" xfId="0" applyFont="1" applyBorder="1" applyAlignment="1">
      <alignment horizontal="center"/>
    </xf>
    <xf numFmtId="0" fontId="10" fillId="0" borderId="35" xfId="0" applyFont="1" applyBorder="1" applyAlignment="1">
      <alignment horizontal="center"/>
    </xf>
    <xf numFmtId="3" fontId="9" fillId="0" borderId="0" xfId="0" applyNumberFormat="1" applyFont="1" applyAlignment="1" applyProtection="1">
      <alignment horizontal="center"/>
      <protection locked="0"/>
    </xf>
    <xf numFmtId="0" fontId="19" fillId="0" borderId="59" xfId="0" applyFont="1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58" xfId="0" applyBorder="1" applyAlignment="1">
      <alignment horizontal="left"/>
    </xf>
    <xf numFmtId="0" fontId="19" fillId="0" borderId="9" xfId="0" applyFont="1" applyBorder="1" applyAlignment="1">
      <alignment horizontal="left"/>
    </xf>
    <xf numFmtId="3" fontId="6" fillId="0" borderId="29" xfId="0" applyNumberFormat="1" applyFont="1" applyBorder="1" applyAlignment="1" applyProtection="1">
      <alignment horizontal="center"/>
      <protection locked="0"/>
    </xf>
    <xf numFmtId="3" fontId="6" fillId="0" borderId="30" xfId="0" applyNumberFormat="1" applyFont="1" applyBorder="1" applyAlignment="1" applyProtection="1">
      <alignment horizontal="center"/>
      <protection locked="0"/>
    </xf>
    <xf numFmtId="3" fontId="6" fillId="0" borderId="31" xfId="0" applyNumberFormat="1" applyFont="1" applyBorder="1" applyAlignment="1" applyProtection="1">
      <alignment horizontal="center"/>
      <protection locked="0"/>
    </xf>
    <xf numFmtId="3" fontId="9" fillId="0" borderId="0" xfId="0" applyNumberFormat="1" applyFont="1" applyAlignment="1" applyProtection="1">
      <alignment horizontal="center"/>
    </xf>
    <xf numFmtId="0" fontId="10" fillId="0" borderId="27" xfId="0" applyFont="1" applyBorder="1" applyAlignment="1">
      <alignment horizontal="center"/>
    </xf>
    <xf numFmtId="3" fontId="39" fillId="0" borderId="0" xfId="0" applyNumberFormat="1" applyFont="1" applyAlignment="1">
      <alignment horizontal="center"/>
    </xf>
    <xf numFmtId="0" fontId="40" fillId="0" borderId="0" xfId="0" applyFont="1" applyBorder="1" applyAlignment="1">
      <alignment horizontal="right"/>
    </xf>
    <xf numFmtId="0" fontId="40" fillId="0" borderId="0" xfId="0" applyFont="1" applyAlignment="1">
      <alignment horizontal="center"/>
    </xf>
    <xf numFmtId="0" fontId="40" fillId="0" borderId="27" xfId="0" applyFont="1" applyBorder="1" applyAlignment="1">
      <alignment horizontal="right"/>
    </xf>
    <xf numFmtId="0" fontId="40" fillId="0" borderId="29" xfId="0" applyFont="1" applyBorder="1" applyAlignment="1">
      <alignment horizontal="center"/>
    </xf>
    <xf numFmtId="0" fontId="40" fillId="0" borderId="30" xfId="0" applyFont="1" applyBorder="1" applyAlignment="1">
      <alignment horizontal="center"/>
    </xf>
    <xf numFmtId="0" fontId="40" fillId="0" borderId="31" xfId="0" applyFont="1" applyBorder="1" applyAlignment="1">
      <alignment horizontal="center"/>
    </xf>
  </cellXfs>
  <cellStyles count="7">
    <cellStyle name="Comma" xfId="2" builtinId="3"/>
    <cellStyle name="Currency" xfId="3" builtinId="4"/>
    <cellStyle name="Normal" xfId="0" builtinId="0"/>
    <cellStyle name="Normal_9FA MR x 2" xfId="4"/>
    <cellStyle name="Normal_YUCATAN5" xfId="5"/>
    <cellStyle name="Percent" xfId="6" builtinId="5"/>
    <cellStyle name="RowLevel_2" xfId="1" builtinId="1" iLevel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</xdr:row>
          <xdr:rowOff>0</xdr:rowOff>
        </xdr:from>
        <xdr:to>
          <xdr:col>6</xdr:col>
          <xdr:colOff>171450</xdr:colOff>
          <xdr:row>26</xdr:row>
          <xdr:rowOff>66675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F9782EE2-FB11-34BB-AE43-6B3FC37DDA5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241"/>
  <sheetViews>
    <sheetView tabSelected="1" workbookViewId="0"/>
  </sheetViews>
  <sheetFormatPr defaultRowHeight="12.75"/>
  <cols>
    <col min="6" max="6" width="13" customWidth="1"/>
  </cols>
  <sheetData>
    <row r="1" spans="1:22" ht="15.75">
      <c r="A1" s="1" t="str">
        <f>Scope!A1</f>
        <v>City of Austin 4 x LM6000 Power Project</v>
      </c>
      <c r="B1" s="2"/>
      <c r="C1" s="2"/>
      <c r="D1" s="2"/>
      <c r="E1" s="2"/>
      <c r="F1" s="2"/>
      <c r="G1" s="2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2" spans="1:22" ht="15.75">
      <c r="A2" s="4" t="s">
        <v>633</v>
      </c>
      <c r="B2" s="2"/>
      <c r="C2" s="2"/>
      <c r="D2" s="2"/>
      <c r="E2" s="2"/>
      <c r="F2" s="2"/>
      <c r="G2" s="2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</row>
    <row r="3" spans="1:22" ht="15.75">
      <c r="A3" s="4" t="s">
        <v>634</v>
      </c>
      <c r="B3" s="2"/>
      <c r="C3" s="2"/>
      <c r="D3" s="2"/>
      <c r="E3" s="2"/>
      <c r="F3" s="2"/>
      <c r="G3" s="2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</row>
    <row r="4" spans="1:22">
      <c r="A4" s="5"/>
      <c r="B4" s="5"/>
      <c r="C4" s="5"/>
      <c r="D4" s="5"/>
      <c r="E4" s="5"/>
      <c r="F4" s="5"/>
      <c r="G4" s="5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</row>
    <row r="5" spans="1:22">
      <c r="A5" s="5"/>
      <c r="B5" s="5"/>
      <c r="C5" s="5"/>
      <c r="D5" s="5"/>
      <c r="E5" s="5"/>
      <c r="F5" s="5"/>
      <c r="G5" s="5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</row>
    <row r="6" spans="1:22"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</row>
    <row r="7" spans="1:22">
      <c r="A7" s="6" t="s">
        <v>634</v>
      </c>
      <c r="B7" s="5"/>
      <c r="C7" s="5"/>
      <c r="D7" s="5"/>
      <c r="F7" s="5"/>
      <c r="G7" s="7">
        <v>1</v>
      </c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</row>
    <row r="8" spans="1:22">
      <c r="A8" s="5"/>
      <c r="B8" s="5"/>
      <c r="C8" s="5"/>
      <c r="D8" s="5"/>
      <c r="E8" s="5"/>
      <c r="F8" s="5"/>
      <c r="G8" s="7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</row>
    <row r="9" spans="1:22">
      <c r="A9" s="6" t="s">
        <v>635</v>
      </c>
      <c r="B9" s="5"/>
      <c r="C9" s="5"/>
      <c r="D9" s="5"/>
      <c r="E9" s="5"/>
      <c r="F9" s="5"/>
      <c r="G9" s="7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</row>
    <row r="10" spans="1:22">
      <c r="B10" s="6" t="s">
        <v>636</v>
      </c>
      <c r="C10" s="5"/>
      <c r="D10" s="5"/>
      <c r="F10" s="5"/>
      <c r="G10" s="7">
        <v>2</v>
      </c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</row>
    <row r="11" spans="1:22">
      <c r="A11" s="6"/>
      <c r="B11" s="6" t="s">
        <v>637</v>
      </c>
      <c r="C11" s="5"/>
      <c r="D11" s="5"/>
      <c r="F11" s="5"/>
      <c r="G11" s="7">
        <v>3</v>
      </c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</row>
    <row r="12" spans="1:22">
      <c r="A12" s="6"/>
      <c r="B12" s="6" t="s">
        <v>334</v>
      </c>
      <c r="C12" s="5"/>
      <c r="D12" s="5"/>
      <c r="F12" s="5"/>
      <c r="G12" s="7">
        <v>4</v>
      </c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</row>
    <row r="13" spans="1:22">
      <c r="A13" s="6"/>
      <c r="B13" s="6"/>
      <c r="C13" s="5"/>
      <c r="D13" s="5"/>
      <c r="F13" s="5"/>
      <c r="G13" s="7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</row>
    <row r="14" spans="1:22">
      <c r="A14" s="6" t="s">
        <v>638</v>
      </c>
      <c r="B14" s="6"/>
      <c r="C14" s="5"/>
      <c r="D14" s="5"/>
      <c r="E14" s="5"/>
      <c r="F14" s="5"/>
      <c r="G14" s="7">
        <v>5</v>
      </c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</row>
    <row r="15" spans="1:22" hidden="1">
      <c r="A15" s="6"/>
      <c r="B15" s="6" t="s">
        <v>639</v>
      </c>
      <c r="C15" s="5"/>
      <c r="D15" s="5"/>
      <c r="E15" s="5"/>
      <c r="F15" s="5"/>
      <c r="G15" s="7">
        <v>6</v>
      </c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</row>
    <row r="16" spans="1:22">
      <c r="A16" s="6"/>
      <c r="B16" s="6"/>
      <c r="C16" s="5"/>
      <c r="D16" s="5"/>
      <c r="E16" s="5"/>
      <c r="F16" s="5"/>
      <c r="G16" s="7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</row>
    <row r="17" spans="1:22" hidden="1">
      <c r="A17" s="6" t="s">
        <v>640</v>
      </c>
      <c r="C17" s="5"/>
      <c r="D17" s="5"/>
      <c r="E17" s="5"/>
      <c r="F17" s="5"/>
      <c r="G17" s="7">
        <v>7</v>
      </c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</row>
    <row r="18" spans="1:22" hidden="1">
      <c r="A18" s="5"/>
      <c r="C18" s="5"/>
      <c r="D18" s="5"/>
      <c r="E18" s="5"/>
      <c r="F18" s="5"/>
      <c r="G18" s="7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</row>
    <row r="19" spans="1:22">
      <c r="A19" s="6" t="s">
        <v>641</v>
      </c>
      <c r="C19" s="5"/>
      <c r="D19" s="5"/>
      <c r="E19" s="5"/>
      <c r="F19" s="5"/>
      <c r="G19" s="7">
        <v>6</v>
      </c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</row>
    <row r="20" spans="1:22">
      <c r="A20" s="6"/>
      <c r="B20" s="8" t="s">
        <v>642</v>
      </c>
      <c r="C20" s="5"/>
      <c r="D20" s="5"/>
      <c r="E20" s="5"/>
      <c r="F20" s="5"/>
      <c r="G20" s="7">
        <v>7</v>
      </c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</row>
    <row r="21" spans="1:22">
      <c r="A21" s="6"/>
      <c r="B21" s="8" t="s">
        <v>643</v>
      </c>
      <c r="C21" s="5"/>
      <c r="D21" s="5"/>
      <c r="E21" s="5"/>
      <c r="F21" s="5"/>
      <c r="G21" s="7">
        <v>8</v>
      </c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</row>
    <row r="22" spans="1:22">
      <c r="A22" s="6"/>
      <c r="B22" s="8" t="s">
        <v>644</v>
      </c>
      <c r="C22" s="5"/>
      <c r="D22" s="5"/>
      <c r="E22" s="5"/>
      <c r="F22" s="5"/>
      <c r="G22" s="7">
        <v>9</v>
      </c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</row>
    <row r="23" spans="1:22">
      <c r="A23" s="6"/>
      <c r="B23" s="8" t="s">
        <v>645</v>
      </c>
      <c r="C23" s="5"/>
      <c r="D23" s="5"/>
      <c r="E23" s="5"/>
      <c r="F23" s="5"/>
      <c r="G23" s="7">
        <v>10</v>
      </c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</row>
    <row r="24" spans="1:22" hidden="1">
      <c r="A24" s="6"/>
      <c r="B24" s="8" t="s">
        <v>646</v>
      </c>
      <c r="C24" s="5"/>
      <c r="D24" s="5"/>
      <c r="E24" s="5"/>
      <c r="F24" s="5"/>
      <c r="G24" s="7">
        <v>14</v>
      </c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</row>
    <row r="25" spans="1:22" hidden="1">
      <c r="A25" s="6"/>
      <c r="B25" s="8" t="s">
        <v>647</v>
      </c>
      <c r="C25" s="5"/>
      <c r="D25" s="5"/>
      <c r="E25" s="5"/>
      <c r="F25" s="5"/>
      <c r="G25" s="7">
        <v>16</v>
      </c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</row>
    <row r="26" spans="1:22" hidden="1">
      <c r="A26" s="6"/>
      <c r="B26" s="8" t="s">
        <v>648</v>
      </c>
      <c r="C26" s="5"/>
      <c r="D26" s="5"/>
      <c r="E26" s="5"/>
      <c r="F26" s="5"/>
      <c r="G26" s="7">
        <v>12</v>
      </c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</row>
    <row r="27" spans="1:22">
      <c r="A27" s="5"/>
      <c r="C27" s="5"/>
      <c r="D27" s="5"/>
      <c r="E27" s="5"/>
      <c r="F27" s="5"/>
      <c r="G27" s="7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</row>
    <row r="28" spans="1:22">
      <c r="A28" s="6" t="s">
        <v>649</v>
      </c>
      <c r="C28" s="5"/>
      <c r="D28" s="5"/>
      <c r="E28" s="5"/>
      <c r="F28" s="5"/>
      <c r="G28" s="7">
        <v>12</v>
      </c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</row>
    <row r="29" spans="1:22" ht="12" customHeight="1">
      <c r="A29" s="6"/>
      <c r="B29" s="8" t="s">
        <v>650</v>
      </c>
      <c r="C29" s="5"/>
      <c r="D29" s="5"/>
      <c r="E29" s="5"/>
      <c r="F29" s="5"/>
      <c r="G29" s="7">
        <v>13</v>
      </c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</row>
    <row r="30" spans="1:22" hidden="1">
      <c r="A30" s="6"/>
      <c r="B30" s="8" t="s">
        <v>651</v>
      </c>
      <c r="C30" s="5"/>
      <c r="D30" s="5"/>
      <c r="E30" s="5"/>
      <c r="F30" s="5"/>
      <c r="G30" s="7">
        <v>24</v>
      </c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</row>
    <row r="31" spans="1:22" hidden="1">
      <c r="A31" s="6"/>
      <c r="B31" s="8" t="s">
        <v>652</v>
      </c>
      <c r="C31" s="5"/>
      <c r="D31" s="5"/>
      <c r="E31" s="5"/>
      <c r="F31" s="5"/>
      <c r="G31" s="7">
        <v>25</v>
      </c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</row>
    <row r="32" spans="1:22" hidden="1">
      <c r="A32" s="6"/>
      <c r="B32" s="8" t="s">
        <v>653</v>
      </c>
      <c r="C32" s="5"/>
      <c r="D32" s="5"/>
      <c r="E32" s="5"/>
      <c r="F32" s="5"/>
      <c r="G32" s="7">
        <v>26</v>
      </c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</row>
    <row r="33" spans="1:22" hidden="1">
      <c r="A33" s="6"/>
      <c r="B33" s="8" t="s">
        <v>654</v>
      </c>
      <c r="C33" s="5"/>
      <c r="D33" s="5"/>
      <c r="E33" s="5"/>
      <c r="F33" s="5"/>
      <c r="G33" s="7">
        <v>19</v>
      </c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</row>
    <row r="34" spans="1:22" hidden="1">
      <c r="A34" s="6"/>
      <c r="B34" s="8" t="s">
        <v>655</v>
      </c>
      <c r="C34" s="5"/>
      <c r="D34" s="5"/>
      <c r="E34" s="5"/>
      <c r="F34" s="5"/>
      <c r="G34" s="7">
        <v>20</v>
      </c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</row>
    <row r="35" spans="1:22" hidden="1">
      <c r="A35" s="5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</row>
    <row r="36" spans="1:22" hidden="1">
      <c r="A36" s="6" t="s">
        <v>656</v>
      </c>
      <c r="C36" s="5"/>
      <c r="D36" s="5"/>
      <c r="E36" s="5"/>
      <c r="F36" s="5"/>
      <c r="G36" s="7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</row>
    <row r="37" spans="1:22" hidden="1">
      <c r="A37" s="6"/>
      <c r="B37" s="8" t="s">
        <v>657</v>
      </c>
      <c r="C37" s="5"/>
      <c r="D37" s="5"/>
      <c r="E37" s="5"/>
      <c r="F37" s="5"/>
      <c r="G37" s="7">
        <v>35</v>
      </c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</row>
    <row r="38" spans="1:22" hidden="1">
      <c r="A38" s="5"/>
      <c r="B38" s="6" t="s">
        <v>658</v>
      </c>
      <c r="C38" s="5"/>
      <c r="D38" s="5"/>
      <c r="E38" s="5"/>
      <c r="F38" s="5"/>
      <c r="G38" s="5">
        <v>25</v>
      </c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  <row r="39" spans="1:22">
      <c r="A39" s="5"/>
      <c r="B39" s="6"/>
      <c r="C39" s="5"/>
      <c r="D39" s="5"/>
      <c r="E39" s="5"/>
      <c r="F39" s="5"/>
      <c r="G39" s="9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</row>
    <row r="40" spans="1:2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</row>
    <row r="41" spans="1:2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</row>
    <row r="42" spans="1:2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</row>
    <row r="43" spans="1:2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</row>
    <row r="44" spans="1:2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</row>
    <row r="45" spans="1:2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</row>
    <row r="46" spans="1:2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</row>
    <row r="47" spans="1:2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</row>
    <row r="48" spans="1:2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</row>
    <row r="49" spans="1:2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</row>
    <row r="50" spans="1:2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</row>
    <row r="51" spans="1:2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</row>
    <row r="52" spans="1:2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</row>
    <row r="53" spans="1:2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</row>
    <row r="54" spans="1:2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</row>
    <row r="55" spans="1:2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</row>
    <row r="56" spans="1:2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</row>
    <row r="57" spans="1:2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</row>
    <row r="58" spans="1:2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</row>
    <row r="59" spans="1:2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</row>
    <row r="60" spans="1:2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</row>
    <row r="61" spans="1:2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</row>
    <row r="62" spans="1:2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</row>
    <row r="63" spans="1:2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</row>
    <row r="64" spans="1:2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</row>
    <row r="65" spans="1:2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</row>
    <row r="66" spans="1:2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</row>
    <row r="67" spans="1:2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</row>
    <row r="68" spans="1:2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</row>
    <row r="69" spans="1:2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</row>
    <row r="70" spans="1:2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</row>
    <row r="71" spans="1:2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</row>
    <row r="72" spans="1:2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</row>
    <row r="73" spans="1:2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</row>
    <row r="74" spans="1:2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</row>
    <row r="75" spans="1:2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</row>
    <row r="76" spans="1:2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</row>
    <row r="77" spans="1:2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</row>
    <row r="78" spans="1:2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</row>
    <row r="79" spans="1:2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</row>
    <row r="80" spans="1:2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</row>
    <row r="81" spans="1:2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</row>
    <row r="82" spans="1:2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</row>
    <row r="83" spans="1:2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</row>
    <row r="84" spans="1:2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</row>
    <row r="85" spans="1:2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</row>
    <row r="86" spans="1:2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</row>
    <row r="87" spans="1:2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</row>
    <row r="88" spans="1:2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</row>
    <row r="89" spans="1:2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</row>
    <row r="90" spans="1:2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</row>
    <row r="91" spans="1:2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</row>
    <row r="92" spans="1:2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</row>
    <row r="93" spans="1:2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</row>
    <row r="94" spans="1:2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</row>
    <row r="95" spans="1:2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</row>
    <row r="96" spans="1:2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</row>
    <row r="97" spans="1:2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</row>
    <row r="98" spans="1:2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</row>
    <row r="99" spans="1:2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</row>
    <row r="100" spans="1:2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</row>
    <row r="101" spans="1:2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</row>
    <row r="102" spans="1:2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</row>
    <row r="103" spans="1:2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</row>
    <row r="104" spans="1:2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</row>
    <row r="105" spans="1:2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</row>
    <row r="106" spans="1:2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</row>
    <row r="107" spans="1:2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</row>
    <row r="108" spans="1:2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</row>
    <row r="109" spans="1:2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</row>
    <row r="110" spans="1:2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</row>
    <row r="111" spans="1:2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</row>
    <row r="112" spans="1:2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</row>
    <row r="113" spans="1:2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</row>
    <row r="114" spans="1:2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</row>
    <row r="115" spans="1:2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</row>
    <row r="116" spans="1:2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</row>
    <row r="117" spans="1:2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</row>
    <row r="118" spans="1:2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</row>
    <row r="119" spans="1:2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</row>
    <row r="120" spans="1:2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</row>
    <row r="121" spans="1:2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</row>
    <row r="122" spans="1: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</row>
    <row r="123" spans="1:2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</row>
    <row r="124" spans="1:2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</row>
    <row r="125" spans="1:2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</row>
    <row r="126" spans="1:2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</row>
    <row r="127" spans="1:2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</row>
    <row r="128" spans="1:2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</row>
    <row r="129" spans="1:2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</row>
    <row r="130" spans="1:2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</row>
    <row r="131" spans="1:2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</row>
    <row r="132" spans="1:2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</row>
    <row r="133" spans="1:2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</row>
    <row r="134" spans="1:2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</row>
    <row r="135" spans="1:2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</row>
    <row r="136" spans="1:2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</row>
    <row r="137" spans="1:2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</row>
    <row r="138" spans="1:2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</row>
    <row r="139" spans="1:2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</row>
    <row r="140" spans="1:2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</row>
    <row r="141" spans="1:2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</row>
    <row r="142" spans="1:2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</row>
    <row r="143" spans="1:2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</row>
    <row r="144" spans="1:2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</row>
    <row r="145" spans="1:2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</row>
    <row r="146" spans="1:2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</row>
    <row r="147" spans="1:2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</row>
    <row r="148" spans="1:2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</row>
    <row r="149" spans="1:2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</row>
    <row r="150" spans="1:2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</row>
    <row r="151" spans="1:2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</row>
    <row r="152" spans="1:2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</row>
    <row r="153" spans="1:2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</row>
    <row r="154" spans="1:2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</row>
    <row r="155" spans="1:2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</row>
    <row r="156" spans="1:2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</row>
    <row r="157" spans="1:2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</row>
    <row r="158" spans="1:2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</row>
    <row r="159" spans="1:2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</row>
    <row r="160" spans="1:2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</row>
    <row r="161" spans="1:2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</row>
    <row r="162" spans="1:2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</row>
    <row r="163" spans="1:2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</row>
    <row r="164" spans="1:2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</row>
    <row r="165" spans="1:2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</row>
    <row r="166" spans="1:2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</row>
    <row r="167" spans="1:2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</row>
    <row r="168" spans="1:2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</row>
    <row r="169" spans="1:2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</row>
    <row r="170" spans="1:2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</row>
    <row r="171" spans="1:2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</row>
    <row r="172" spans="1:2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</row>
    <row r="173" spans="1:2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</row>
    <row r="174" spans="1:2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</row>
    <row r="175" spans="1:2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</row>
    <row r="176" spans="1:2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</row>
    <row r="177" spans="1:2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</row>
    <row r="178" spans="1:2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</row>
    <row r="179" spans="1:2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</row>
    <row r="180" spans="1:2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</row>
    <row r="181" spans="1:2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</row>
    <row r="182" spans="1:2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</row>
    <row r="183" spans="1:2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</row>
    <row r="184" spans="1:2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</row>
    <row r="185" spans="1:2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</row>
    <row r="186" spans="1:2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</row>
    <row r="187" spans="1:2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</row>
    <row r="188" spans="1:2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</row>
    <row r="189" spans="1:2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</row>
    <row r="190" spans="1:2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</row>
    <row r="191" spans="1:2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</row>
    <row r="192" spans="1:2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</row>
    <row r="193" spans="1:2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</row>
    <row r="194" spans="1:2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</row>
    <row r="195" spans="1:2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</row>
    <row r="196" spans="1:2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</row>
    <row r="197" spans="1:2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</row>
    <row r="198" spans="1:2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</row>
    <row r="199" spans="1:2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</row>
    <row r="200" spans="1:2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</row>
    <row r="201" spans="1:2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</row>
    <row r="202" spans="1:2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</row>
    <row r="203" spans="1:2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</row>
    <row r="204" spans="1:2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</row>
    <row r="205" spans="1:2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</row>
    <row r="206" spans="1:2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</row>
    <row r="207" spans="1:2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</row>
    <row r="208" spans="1:2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</row>
    <row r="209" spans="1:2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</row>
    <row r="210" spans="1:2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</row>
    <row r="211" spans="1:2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</row>
    <row r="212" spans="1:2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</row>
    <row r="213" spans="1:2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</row>
    <row r="214" spans="1:2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</row>
    <row r="215" spans="1:2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</row>
    <row r="216" spans="1:2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</row>
    <row r="217" spans="1:2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</row>
    <row r="218" spans="1:2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</row>
    <row r="219" spans="1:2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</row>
    <row r="220" spans="1:2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</row>
    <row r="221" spans="1:2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</row>
    <row r="222" spans="1: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</row>
    <row r="223" spans="1:2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</row>
    <row r="224" spans="1:2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</row>
    <row r="225" spans="1:2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</row>
    <row r="226" spans="1:2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</row>
    <row r="227" spans="1:2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</row>
    <row r="228" spans="1:2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</row>
    <row r="229" spans="1:2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</row>
    <row r="230" spans="1:2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</row>
    <row r="231" spans="1:2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</row>
    <row r="232" spans="1:2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</row>
    <row r="233" spans="1:2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</row>
    <row r="234" spans="1:2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</row>
    <row r="235" spans="1:2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</row>
    <row r="236" spans="1:2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</row>
    <row r="237" spans="1:2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</row>
    <row r="238" spans="1:2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</row>
    <row r="239" spans="1:2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</row>
    <row r="240" spans="1:2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</row>
    <row r="241" spans="1:2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</row>
  </sheetData>
  <sheetProtection password="DD3F" sheet="1" objects="1" scenarios="1"/>
  <printOptions horizontalCentered="1"/>
  <pageMargins left="0.75" right="0.75" top="1" bottom="1" header="0.5" footer="0.5"/>
  <pageSetup orientation="portrait" horizontalDpi="4294967292" verticalDpi="4294967292" r:id="rId1"/>
  <headerFooter alignWithMargins="0">
    <oddFooter>&amp;LScot Chambers
&amp;D&amp;CPage _____&amp;R&amp;F
&amp;A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22"/>
  <sheetViews>
    <sheetView zoomScale="80" workbookViewId="0">
      <selection activeCell="F121" sqref="F121"/>
    </sheetView>
  </sheetViews>
  <sheetFormatPr defaultRowHeight="12.75"/>
  <cols>
    <col min="1" max="1" width="45.85546875" customWidth="1"/>
    <col min="2" max="2" width="9" customWidth="1"/>
    <col min="3" max="4" width="9.5703125" customWidth="1"/>
    <col min="5" max="5" width="10" customWidth="1"/>
    <col min="6" max="6" width="30.7109375" customWidth="1"/>
    <col min="7" max="7" width="9.42578125" customWidth="1"/>
  </cols>
  <sheetData>
    <row r="1" spans="1:8" ht="15.75">
      <c r="A1" s="171" t="str">
        <f>Scope!A1</f>
        <v>City of Austin 4 x LM6000 Power Project</v>
      </c>
      <c r="B1" s="171"/>
      <c r="C1" s="171"/>
      <c r="D1" s="171"/>
      <c r="E1" s="171"/>
      <c r="F1" s="171"/>
      <c r="G1" s="172"/>
      <c r="H1" s="172"/>
    </row>
    <row r="2" spans="1:8" ht="15.75">
      <c r="A2" s="173" t="s">
        <v>870</v>
      </c>
      <c r="B2" s="173"/>
      <c r="C2" s="173"/>
      <c r="D2" s="173"/>
      <c r="E2" s="173"/>
      <c r="F2" s="173"/>
      <c r="G2" s="172"/>
      <c r="H2" s="172"/>
    </row>
    <row r="4" spans="1:8">
      <c r="C4" s="11" t="s">
        <v>871</v>
      </c>
    </row>
    <row r="5" spans="1:8">
      <c r="C5" s="174" t="s">
        <v>872</v>
      </c>
      <c r="D5" s="175" t="s">
        <v>873</v>
      </c>
      <c r="E5" s="174" t="s">
        <v>874</v>
      </c>
      <c r="F5" s="176" t="s">
        <v>875</v>
      </c>
      <c r="G5" s="117"/>
      <c r="H5" s="117"/>
    </row>
    <row r="6" spans="1:8">
      <c r="A6" s="8" t="s">
        <v>876</v>
      </c>
      <c r="B6" s="8"/>
      <c r="C6" s="177"/>
      <c r="D6" s="178"/>
      <c r="E6" s="177"/>
      <c r="F6" s="100"/>
    </row>
    <row r="7" spans="1:8">
      <c r="A7" s="8"/>
      <c r="B7" s="8"/>
      <c r="C7" s="177"/>
      <c r="D7" s="178"/>
      <c r="E7" s="177"/>
      <c r="F7" s="100"/>
    </row>
    <row r="8" spans="1:8">
      <c r="A8" t="s">
        <v>877</v>
      </c>
      <c r="C8" s="179"/>
      <c r="D8" s="180"/>
      <c r="E8" s="179"/>
      <c r="F8" s="100"/>
    </row>
    <row r="9" spans="1:8">
      <c r="A9" t="s">
        <v>878</v>
      </c>
      <c r="C9" s="179"/>
      <c r="D9" s="180"/>
      <c r="E9" s="179" t="s">
        <v>879</v>
      </c>
      <c r="F9" s="100"/>
    </row>
    <row r="10" spans="1:8">
      <c r="A10" t="s">
        <v>880</v>
      </c>
      <c r="C10" s="179"/>
      <c r="D10" s="179" t="s">
        <v>879</v>
      </c>
      <c r="E10" s="179"/>
      <c r="F10" s="100"/>
    </row>
    <row r="11" spans="1:8">
      <c r="A11" t="s">
        <v>881</v>
      </c>
      <c r="C11" s="179" t="s">
        <v>879</v>
      </c>
      <c r="D11" s="179"/>
      <c r="E11" s="179"/>
      <c r="F11" s="100"/>
    </row>
    <row r="12" spans="1:8">
      <c r="A12" t="s">
        <v>882</v>
      </c>
      <c r="C12" s="179"/>
      <c r="D12" s="179"/>
      <c r="E12" s="179"/>
      <c r="F12" s="100"/>
    </row>
    <row r="13" spans="1:8">
      <c r="A13" t="s">
        <v>878</v>
      </c>
      <c r="C13" s="179"/>
      <c r="D13" s="179"/>
      <c r="E13" s="179" t="s">
        <v>879</v>
      </c>
      <c r="F13" s="100"/>
    </row>
    <row r="14" spans="1:8">
      <c r="A14" t="s">
        <v>880</v>
      </c>
      <c r="C14" s="179"/>
      <c r="D14" s="179" t="s">
        <v>879</v>
      </c>
      <c r="E14" s="179"/>
      <c r="F14" s="100"/>
    </row>
    <row r="15" spans="1:8">
      <c r="A15" t="s">
        <v>881</v>
      </c>
      <c r="C15" s="179" t="s">
        <v>879</v>
      </c>
      <c r="D15" s="179"/>
      <c r="E15" s="179"/>
      <c r="F15" s="100"/>
    </row>
    <row r="16" spans="1:8">
      <c r="A16" t="s">
        <v>788</v>
      </c>
      <c r="C16" s="179"/>
      <c r="D16" s="179"/>
      <c r="E16" s="179"/>
      <c r="F16" s="100"/>
    </row>
    <row r="17" spans="1:6">
      <c r="A17" t="s">
        <v>594</v>
      </c>
      <c r="C17" s="179" t="s">
        <v>879</v>
      </c>
      <c r="D17" s="179"/>
      <c r="E17" s="179"/>
      <c r="F17" s="100"/>
    </row>
    <row r="18" spans="1:6">
      <c r="A18" t="s">
        <v>883</v>
      </c>
      <c r="C18" s="179" t="s">
        <v>879</v>
      </c>
      <c r="D18" s="179"/>
      <c r="E18" s="179"/>
      <c r="F18" s="100"/>
    </row>
    <row r="19" spans="1:6">
      <c r="A19" t="s">
        <v>884</v>
      </c>
      <c r="C19" s="179" t="s">
        <v>879</v>
      </c>
      <c r="D19" s="179"/>
      <c r="E19" s="179"/>
      <c r="F19" s="100"/>
    </row>
    <row r="20" spans="1:6">
      <c r="A20" t="s">
        <v>885</v>
      </c>
      <c r="C20" s="179"/>
      <c r="D20" s="179"/>
      <c r="E20" s="179" t="s">
        <v>879</v>
      </c>
      <c r="F20" s="100" t="s">
        <v>888</v>
      </c>
    </row>
    <row r="21" spans="1:6">
      <c r="A21" t="s">
        <v>886</v>
      </c>
      <c r="C21" s="179"/>
      <c r="D21" s="179" t="s">
        <v>879</v>
      </c>
      <c r="E21" s="179"/>
      <c r="F21" s="100"/>
    </row>
    <row r="22" spans="1:6">
      <c r="A22" t="s">
        <v>887</v>
      </c>
      <c r="C22" s="179"/>
      <c r="D22" s="179"/>
      <c r="E22" s="179" t="s">
        <v>879</v>
      </c>
      <c r="F22" s="100" t="s">
        <v>888</v>
      </c>
    </row>
    <row r="23" spans="1:6">
      <c r="A23" t="s">
        <v>889</v>
      </c>
      <c r="C23" s="179"/>
      <c r="D23" s="179"/>
      <c r="E23" s="179" t="s">
        <v>879</v>
      </c>
      <c r="F23" s="100" t="s">
        <v>888</v>
      </c>
    </row>
    <row r="24" spans="1:6">
      <c r="A24" t="s">
        <v>789</v>
      </c>
      <c r="C24" s="179"/>
      <c r="D24" s="179"/>
      <c r="E24" s="179"/>
      <c r="F24" s="100"/>
    </row>
    <row r="25" spans="1:6">
      <c r="A25" t="s">
        <v>880</v>
      </c>
      <c r="C25" s="179"/>
      <c r="D25" s="179" t="s">
        <v>879</v>
      </c>
      <c r="E25" s="179"/>
      <c r="F25" s="100"/>
    </row>
    <row r="26" spans="1:6">
      <c r="A26" t="s">
        <v>881</v>
      </c>
      <c r="C26" s="179" t="s">
        <v>879</v>
      </c>
      <c r="D26" s="179"/>
      <c r="E26" s="179"/>
      <c r="F26" s="100"/>
    </row>
    <row r="27" spans="1:6">
      <c r="A27" t="s">
        <v>890</v>
      </c>
      <c r="C27" s="179"/>
      <c r="D27" s="179"/>
      <c r="E27" s="179"/>
      <c r="F27" s="100"/>
    </row>
    <row r="28" spans="1:6">
      <c r="A28" t="s">
        <v>880</v>
      </c>
      <c r="C28" s="179"/>
      <c r="D28" s="179" t="s">
        <v>879</v>
      </c>
      <c r="E28" s="179"/>
      <c r="F28" s="100"/>
    </row>
    <row r="29" spans="1:6">
      <c r="A29" t="s">
        <v>891</v>
      </c>
      <c r="C29" s="179" t="s">
        <v>879</v>
      </c>
      <c r="D29" s="179"/>
      <c r="E29" s="179"/>
      <c r="F29" s="100"/>
    </row>
    <row r="30" spans="1:6">
      <c r="A30" t="s">
        <v>892</v>
      </c>
      <c r="C30" s="179"/>
      <c r="D30" s="179"/>
      <c r="E30" s="179"/>
      <c r="F30" s="100"/>
    </row>
    <row r="31" spans="1:6">
      <c r="A31" t="s">
        <v>893</v>
      </c>
      <c r="C31" s="179"/>
      <c r="D31" s="179" t="s">
        <v>879</v>
      </c>
      <c r="E31" s="179"/>
      <c r="F31" s="100"/>
    </row>
    <row r="32" spans="1:6">
      <c r="A32" t="s">
        <v>894</v>
      </c>
      <c r="C32" s="179" t="s">
        <v>879</v>
      </c>
      <c r="D32" s="179"/>
      <c r="E32" s="179"/>
      <c r="F32" s="100"/>
    </row>
    <row r="33" spans="1:6">
      <c r="A33" t="s">
        <v>895</v>
      </c>
      <c r="C33" s="179"/>
      <c r="D33" s="179"/>
      <c r="E33" s="179"/>
      <c r="F33" s="100"/>
    </row>
    <row r="34" spans="1:6">
      <c r="A34" t="s">
        <v>595</v>
      </c>
      <c r="C34" s="179"/>
      <c r="D34" s="179"/>
      <c r="E34" s="179" t="s">
        <v>879</v>
      </c>
      <c r="F34" s="100" t="s">
        <v>596</v>
      </c>
    </row>
    <row r="35" spans="1:6">
      <c r="A35" s="181" t="s">
        <v>597</v>
      </c>
      <c r="C35" s="179"/>
      <c r="D35" s="179" t="s">
        <v>879</v>
      </c>
      <c r="E35" s="179"/>
      <c r="F35" s="100"/>
    </row>
    <row r="36" spans="1:6">
      <c r="A36" t="s">
        <v>896</v>
      </c>
      <c r="C36" s="179" t="s">
        <v>879</v>
      </c>
      <c r="D36" s="179"/>
      <c r="E36" s="179"/>
      <c r="F36" s="100"/>
    </row>
    <row r="37" spans="1:6">
      <c r="A37" s="181" t="s">
        <v>897</v>
      </c>
      <c r="C37" s="179"/>
      <c r="D37" s="179" t="s">
        <v>879</v>
      </c>
      <c r="E37" s="179"/>
      <c r="F37" s="100"/>
    </row>
    <row r="38" spans="1:6">
      <c r="A38" t="s">
        <v>898</v>
      </c>
      <c r="C38" s="179"/>
      <c r="D38" s="179"/>
      <c r="E38" s="179"/>
      <c r="F38" s="100"/>
    </row>
    <row r="39" spans="1:6">
      <c r="A39" t="s">
        <v>899</v>
      </c>
      <c r="C39" s="179" t="s">
        <v>879</v>
      </c>
      <c r="D39" s="179"/>
      <c r="E39" s="179"/>
      <c r="F39" s="100" t="s">
        <v>900</v>
      </c>
    </row>
    <row r="40" spans="1:6">
      <c r="A40" t="s">
        <v>901</v>
      </c>
      <c r="C40" s="179"/>
      <c r="D40" s="179" t="s">
        <v>879</v>
      </c>
      <c r="E40" s="179"/>
      <c r="F40" s="100" t="s">
        <v>902</v>
      </c>
    </row>
    <row r="41" spans="1:6">
      <c r="A41" t="s">
        <v>903</v>
      </c>
      <c r="C41" s="179"/>
      <c r="D41" s="179"/>
      <c r="E41" s="179" t="s">
        <v>879</v>
      </c>
      <c r="F41" s="100" t="s">
        <v>902</v>
      </c>
    </row>
    <row r="42" spans="1:6">
      <c r="A42" t="s">
        <v>904</v>
      </c>
      <c r="C42" s="179"/>
      <c r="D42" s="179"/>
      <c r="E42" s="179"/>
      <c r="F42" s="100"/>
    </row>
    <row r="43" spans="1:6">
      <c r="A43" t="s">
        <v>905</v>
      </c>
      <c r="C43" s="179" t="s">
        <v>879</v>
      </c>
      <c r="D43" s="179"/>
      <c r="E43" s="179"/>
      <c r="F43" s="100"/>
    </row>
    <row r="44" spans="1:6">
      <c r="A44" t="s">
        <v>906</v>
      </c>
      <c r="C44" s="179" t="s">
        <v>879</v>
      </c>
      <c r="D44" s="179"/>
      <c r="E44" s="179"/>
      <c r="F44" s="100"/>
    </row>
    <row r="45" spans="1:6">
      <c r="A45" s="181" t="s">
        <v>907</v>
      </c>
      <c r="C45" s="179" t="s">
        <v>879</v>
      </c>
      <c r="D45" s="179"/>
      <c r="E45" s="179"/>
      <c r="F45" s="182" t="s">
        <v>908</v>
      </c>
    </row>
    <row r="46" spans="1:6">
      <c r="A46" t="s">
        <v>909</v>
      </c>
      <c r="C46" s="179" t="s">
        <v>879</v>
      </c>
      <c r="D46" s="179"/>
      <c r="E46" s="179"/>
      <c r="F46" s="182"/>
    </row>
    <row r="47" spans="1:6">
      <c r="A47" t="s">
        <v>910</v>
      </c>
      <c r="C47" s="179" t="s">
        <v>879</v>
      </c>
      <c r="D47" s="179"/>
      <c r="E47" s="179"/>
      <c r="F47" s="100"/>
    </row>
    <row r="48" spans="1:6">
      <c r="A48" t="s">
        <v>911</v>
      </c>
      <c r="C48" s="179" t="s">
        <v>879</v>
      </c>
      <c r="D48" s="179" t="s">
        <v>879</v>
      </c>
      <c r="E48" s="179"/>
      <c r="F48" s="100"/>
    </row>
    <row r="49" spans="1:6">
      <c r="A49" t="s">
        <v>912</v>
      </c>
      <c r="C49" s="179"/>
      <c r="D49" s="179" t="s">
        <v>879</v>
      </c>
      <c r="E49" s="179"/>
      <c r="F49" s="100"/>
    </row>
    <row r="50" spans="1:6">
      <c r="A50" s="181" t="s">
        <v>913</v>
      </c>
      <c r="C50" s="179" t="s">
        <v>879</v>
      </c>
      <c r="D50" s="179"/>
      <c r="E50" s="179"/>
      <c r="F50" s="182" t="s">
        <v>914</v>
      </c>
    </row>
    <row r="51" spans="1:6">
      <c r="A51" s="181" t="s">
        <v>915</v>
      </c>
      <c r="C51" s="179" t="s">
        <v>879</v>
      </c>
      <c r="D51" s="179"/>
      <c r="E51" s="100"/>
      <c r="F51" s="100"/>
    </row>
    <row r="52" spans="1:6">
      <c r="A52" s="181" t="s">
        <v>916</v>
      </c>
      <c r="C52" s="179"/>
      <c r="D52" s="179" t="s">
        <v>879</v>
      </c>
      <c r="E52" s="179"/>
      <c r="F52" s="100"/>
    </row>
    <row r="53" spans="1:6">
      <c r="A53" s="181" t="s">
        <v>917</v>
      </c>
      <c r="C53" s="100"/>
      <c r="D53" s="179"/>
      <c r="E53" s="179" t="s">
        <v>879</v>
      </c>
      <c r="F53" s="100"/>
    </row>
    <row r="54" spans="1:6">
      <c r="A54" s="181" t="s">
        <v>918</v>
      </c>
      <c r="C54" s="179" t="s">
        <v>879</v>
      </c>
      <c r="D54" s="179"/>
      <c r="E54" s="100"/>
      <c r="F54" s="100"/>
    </row>
    <row r="55" spans="1:6">
      <c r="A55" t="s">
        <v>919</v>
      </c>
      <c r="C55" s="179" t="s">
        <v>879</v>
      </c>
      <c r="D55" s="179"/>
      <c r="E55" s="179"/>
      <c r="F55" s="100"/>
    </row>
    <row r="56" spans="1:6">
      <c r="A56" t="s">
        <v>920</v>
      </c>
      <c r="C56" s="179"/>
      <c r="D56" s="179"/>
      <c r="E56" s="179"/>
      <c r="F56" s="100" t="s">
        <v>921</v>
      </c>
    </row>
    <row r="57" spans="1:6">
      <c r="A57" t="s">
        <v>922</v>
      </c>
      <c r="C57" s="179" t="s">
        <v>879</v>
      </c>
      <c r="D57" s="179"/>
      <c r="E57" s="179"/>
      <c r="F57" s="100"/>
    </row>
    <row r="58" spans="1:6">
      <c r="A58" t="s">
        <v>923</v>
      </c>
      <c r="C58" s="179" t="s">
        <v>879</v>
      </c>
      <c r="D58" s="179"/>
      <c r="E58" s="179"/>
      <c r="F58" s="100"/>
    </row>
    <row r="59" spans="1:6">
      <c r="C59" s="12"/>
      <c r="D59" s="12"/>
      <c r="E59" s="12"/>
    </row>
    <row r="60" spans="1:6">
      <c r="A60" t="s">
        <v>924</v>
      </c>
      <c r="C60" s="12"/>
      <c r="D60" s="12"/>
      <c r="E60" s="12"/>
    </row>
    <row r="61" spans="1:6">
      <c r="A61" t="s">
        <v>925</v>
      </c>
      <c r="C61" s="12"/>
      <c r="D61" s="12"/>
      <c r="E61" s="12"/>
    </row>
    <row r="62" spans="1:6">
      <c r="C62" s="11" t="s">
        <v>871</v>
      </c>
      <c r="D62" s="13"/>
      <c r="E62" s="13"/>
      <c r="F62" s="13"/>
    </row>
    <row r="63" spans="1:6">
      <c r="C63" s="183" t="s">
        <v>872</v>
      </c>
      <c r="D63" s="184" t="s">
        <v>873</v>
      </c>
      <c r="E63" s="183" t="s">
        <v>874</v>
      </c>
      <c r="F63" s="11" t="s">
        <v>875</v>
      </c>
    </row>
    <row r="64" spans="1:6">
      <c r="A64" t="s">
        <v>926</v>
      </c>
      <c r="C64" s="179" t="s">
        <v>879</v>
      </c>
      <c r="D64" s="179"/>
      <c r="E64" s="179"/>
      <c r="F64" s="100" t="s">
        <v>927</v>
      </c>
    </row>
    <row r="65" spans="1:6">
      <c r="A65" t="s">
        <v>928</v>
      </c>
      <c r="C65" s="179"/>
      <c r="D65" s="179"/>
      <c r="E65" s="179"/>
      <c r="F65" s="100"/>
    </row>
    <row r="66" spans="1:6">
      <c r="A66" t="s">
        <v>929</v>
      </c>
      <c r="C66" s="179"/>
      <c r="D66" s="179" t="s">
        <v>879</v>
      </c>
      <c r="E66" s="179"/>
      <c r="F66" s="100"/>
    </row>
    <row r="67" spans="1:6">
      <c r="A67" t="s">
        <v>930</v>
      </c>
      <c r="C67" s="179"/>
      <c r="D67" s="179" t="s">
        <v>879</v>
      </c>
      <c r="E67" s="179"/>
      <c r="F67" s="100"/>
    </row>
    <row r="68" spans="1:6">
      <c r="A68" t="s">
        <v>931</v>
      </c>
      <c r="C68" s="179"/>
      <c r="D68" s="179" t="s">
        <v>879</v>
      </c>
      <c r="E68" s="179"/>
      <c r="F68" s="100"/>
    </row>
    <row r="69" spans="1:6">
      <c r="A69" s="181" t="s">
        <v>932</v>
      </c>
      <c r="C69" s="179" t="s">
        <v>879</v>
      </c>
      <c r="D69" s="179"/>
      <c r="E69" s="179"/>
      <c r="F69" s="100"/>
    </row>
    <row r="70" spans="1:6">
      <c r="C70" s="179"/>
      <c r="D70" s="179"/>
      <c r="E70" s="179"/>
      <c r="F70" s="100"/>
    </row>
    <row r="71" spans="1:6">
      <c r="A71" s="8" t="s">
        <v>933</v>
      </c>
      <c r="B71" s="8"/>
      <c r="C71" s="179"/>
      <c r="D71" s="179"/>
      <c r="E71" s="179"/>
      <c r="F71" s="100"/>
    </row>
    <row r="72" spans="1:6">
      <c r="A72" s="8"/>
      <c r="B72" s="8"/>
      <c r="C72" s="179"/>
      <c r="D72" s="179"/>
      <c r="E72" s="179"/>
      <c r="F72" s="100"/>
    </row>
    <row r="73" spans="1:6">
      <c r="A73" t="s">
        <v>798</v>
      </c>
      <c r="C73" s="179"/>
      <c r="D73" s="179"/>
      <c r="E73" s="179"/>
      <c r="F73" s="100"/>
    </row>
    <row r="74" spans="1:6">
      <c r="A74" t="s">
        <v>934</v>
      </c>
      <c r="C74" s="179" t="s">
        <v>879</v>
      </c>
      <c r="D74" s="179"/>
      <c r="E74" s="179"/>
      <c r="F74" s="100"/>
    </row>
    <row r="75" spans="1:6">
      <c r="A75" t="s">
        <v>935</v>
      </c>
      <c r="C75" s="179" t="s">
        <v>879</v>
      </c>
      <c r="D75" s="179"/>
      <c r="E75" s="179"/>
      <c r="F75" s="100"/>
    </row>
    <row r="76" spans="1:6">
      <c r="A76" t="s">
        <v>936</v>
      </c>
      <c r="C76" s="179"/>
      <c r="D76" s="179"/>
      <c r="E76" s="179"/>
      <c r="F76" s="100"/>
    </row>
    <row r="77" spans="1:6">
      <c r="A77" t="s">
        <v>937</v>
      </c>
      <c r="C77" s="179"/>
      <c r="D77" s="179"/>
      <c r="E77" s="179"/>
      <c r="F77" s="100" t="s">
        <v>921</v>
      </c>
    </row>
    <row r="78" spans="1:6">
      <c r="A78" t="s">
        <v>938</v>
      </c>
      <c r="C78" s="179"/>
      <c r="D78" s="179" t="s">
        <v>879</v>
      </c>
      <c r="E78" s="179"/>
      <c r="F78" s="100"/>
    </row>
    <row r="79" spans="1:6">
      <c r="A79" t="s">
        <v>939</v>
      </c>
      <c r="C79" s="179"/>
      <c r="D79" s="179" t="s">
        <v>879</v>
      </c>
      <c r="E79" s="179"/>
      <c r="F79" s="100"/>
    </row>
    <row r="80" spans="1:6">
      <c r="A80" t="s">
        <v>940</v>
      </c>
      <c r="C80" s="179"/>
      <c r="D80" s="179" t="s">
        <v>879</v>
      </c>
      <c r="E80" s="179"/>
      <c r="F80" s="100"/>
    </row>
    <row r="81" spans="1:6">
      <c r="A81" t="s">
        <v>941</v>
      </c>
      <c r="C81" s="179"/>
      <c r="D81" s="179" t="s">
        <v>879</v>
      </c>
      <c r="E81" s="179"/>
      <c r="F81" s="100"/>
    </row>
    <row r="82" spans="1:6">
      <c r="A82" t="s">
        <v>942</v>
      </c>
      <c r="C82" s="179"/>
      <c r="D82" s="179"/>
      <c r="E82" s="179"/>
      <c r="F82" s="100"/>
    </row>
    <row r="83" spans="1:6">
      <c r="A83" t="s">
        <v>943</v>
      </c>
      <c r="C83" s="179" t="s">
        <v>879</v>
      </c>
      <c r="D83" s="179"/>
      <c r="E83" s="179"/>
      <c r="F83" s="100"/>
    </row>
    <row r="84" spans="1:6">
      <c r="A84" t="s">
        <v>944</v>
      </c>
      <c r="C84" s="179" t="s">
        <v>879</v>
      </c>
      <c r="D84" s="179"/>
      <c r="E84" s="179"/>
      <c r="F84" s="100"/>
    </row>
    <row r="85" spans="1:6">
      <c r="A85" t="s">
        <v>945</v>
      </c>
      <c r="C85" s="179" t="s">
        <v>879</v>
      </c>
      <c r="D85" s="100"/>
      <c r="E85" s="179"/>
      <c r="F85" s="100"/>
    </row>
    <row r="86" spans="1:6">
      <c r="A86" t="s">
        <v>946</v>
      </c>
      <c r="C86" s="179" t="s">
        <v>879</v>
      </c>
      <c r="D86" s="179"/>
      <c r="E86" s="179"/>
      <c r="F86" s="100"/>
    </row>
    <row r="87" spans="1:6">
      <c r="A87" t="s">
        <v>947</v>
      </c>
      <c r="C87" s="179" t="s">
        <v>879</v>
      </c>
      <c r="D87" s="179"/>
      <c r="E87" s="179"/>
      <c r="F87" s="100"/>
    </row>
    <row r="88" spans="1:6">
      <c r="A88" t="s">
        <v>948</v>
      </c>
      <c r="C88" s="179"/>
      <c r="D88" s="179" t="s">
        <v>879</v>
      </c>
      <c r="E88" s="179"/>
      <c r="F88" s="100"/>
    </row>
    <row r="89" spans="1:6">
      <c r="A89" t="s">
        <v>949</v>
      </c>
      <c r="C89" s="179"/>
      <c r="D89" s="179" t="s">
        <v>879</v>
      </c>
      <c r="E89" s="179"/>
      <c r="F89" s="100"/>
    </row>
    <row r="90" spans="1:6">
      <c r="A90" t="s">
        <v>950</v>
      </c>
      <c r="C90" s="179"/>
      <c r="D90" s="179"/>
      <c r="E90" s="179"/>
      <c r="F90" s="100"/>
    </row>
    <row r="91" spans="1:6">
      <c r="A91" t="s">
        <v>951</v>
      </c>
      <c r="C91" s="179" t="s">
        <v>879</v>
      </c>
      <c r="D91" s="179"/>
      <c r="E91" s="179"/>
      <c r="F91" s="100"/>
    </row>
    <row r="92" spans="1:6">
      <c r="A92" t="s">
        <v>598</v>
      </c>
      <c r="C92" s="179"/>
      <c r="D92" s="179" t="s">
        <v>879</v>
      </c>
      <c r="E92" s="179"/>
      <c r="F92" s="100"/>
    </row>
    <row r="93" spans="1:6">
      <c r="A93" t="s">
        <v>952</v>
      </c>
      <c r="C93" s="179"/>
      <c r="D93" s="179"/>
      <c r="E93" s="179"/>
      <c r="F93" s="100"/>
    </row>
    <row r="94" spans="1:6">
      <c r="A94" t="s">
        <v>953</v>
      </c>
      <c r="C94" s="179" t="s">
        <v>879</v>
      </c>
      <c r="D94" s="179"/>
      <c r="E94" s="179"/>
      <c r="F94" s="100"/>
    </row>
    <row r="95" spans="1:6">
      <c r="A95" t="s">
        <v>954</v>
      </c>
      <c r="C95" s="179"/>
      <c r="D95" s="179" t="s">
        <v>879</v>
      </c>
      <c r="E95" s="179"/>
      <c r="F95" s="100"/>
    </row>
    <row r="96" spans="1:6">
      <c r="A96" t="s">
        <v>955</v>
      </c>
      <c r="C96" s="179"/>
      <c r="D96" s="179"/>
      <c r="E96" s="179"/>
      <c r="F96" s="100"/>
    </row>
    <row r="97" spans="1:6">
      <c r="A97" t="s">
        <v>956</v>
      </c>
      <c r="C97" s="179" t="s">
        <v>879</v>
      </c>
      <c r="D97" s="179"/>
      <c r="E97" s="179"/>
      <c r="F97" s="100"/>
    </row>
    <row r="98" spans="1:6">
      <c r="A98" t="s">
        <v>957</v>
      </c>
      <c r="C98" s="179" t="s">
        <v>879</v>
      </c>
      <c r="D98" s="179"/>
      <c r="E98" s="179"/>
      <c r="F98" s="100"/>
    </row>
    <row r="99" spans="1:6">
      <c r="A99" t="s">
        <v>958</v>
      </c>
      <c r="C99" s="179"/>
      <c r="D99" s="179" t="s">
        <v>879</v>
      </c>
      <c r="E99" s="179"/>
      <c r="F99" s="100"/>
    </row>
    <row r="100" spans="1:6">
      <c r="A100" t="s">
        <v>959</v>
      </c>
      <c r="C100" s="179"/>
      <c r="D100" s="179"/>
      <c r="E100" s="179"/>
      <c r="F100" s="100"/>
    </row>
    <row r="101" spans="1:6">
      <c r="A101" t="s">
        <v>960</v>
      </c>
      <c r="C101" s="179"/>
      <c r="D101" s="179" t="s">
        <v>879</v>
      </c>
      <c r="E101" s="179"/>
      <c r="F101" s="100"/>
    </row>
    <row r="102" spans="1:6">
      <c r="A102" t="s">
        <v>961</v>
      </c>
      <c r="C102" s="179"/>
      <c r="D102" s="179" t="s">
        <v>879</v>
      </c>
      <c r="E102" s="179"/>
      <c r="F102" s="100"/>
    </row>
    <row r="103" spans="1:6">
      <c r="A103" t="s">
        <v>962</v>
      </c>
      <c r="C103" s="179"/>
      <c r="D103" s="179" t="s">
        <v>879</v>
      </c>
      <c r="E103" s="179"/>
      <c r="F103" s="100"/>
    </row>
    <row r="104" spans="1:6">
      <c r="A104" t="s">
        <v>963</v>
      </c>
      <c r="C104" s="179"/>
      <c r="D104" s="179" t="s">
        <v>879</v>
      </c>
      <c r="E104" s="179"/>
      <c r="F104" s="100"/>
    </row>
    <row r="105" spans="1:6">
      <c r="A105" t="s">
        <v>964</v>
      </c>
      <c r="C105" s="179" t="s">
        <v>879</v>
      </c>
      <c r="D105" s="179"/>
      <c r="E105" s="179"/>
      <c r="F105" s="100"/>
    </row>
    <row r="106" spans="1:6">
      <c r="A106" t="s">
        <v>965</v>
      </c>
      <c r="C106" s="179"/>
      <c r="D106" s="179"/>
      <c r="E106" s="179"/>
      <c r="F106" s="100"/>
    </row>
    <row r="107" spans="1:6">
      <c r="A107" t="s">
        <v>966</v>
      </c>
      <c r="C107" s="179" t="s">
        <v>879</v>
      </c>
      <c r="D107" s="179"/>
      <c r="E107" s="179"/>
      <c r="F107" s="100"/>
    </row>
    <row r="108" spans="1:6">
      <c r="A108" t="s">
        <v>967</v>
      </c>
      <c r="C108" s="179"/>
      <c r="D108" s="179" t="s">
        <v>879</v>
      </c>
      <c r="E108" s="179" t="s">
        <v>879</v>
      </c>
      <c r="F108" s="100" t="s">
        <v>968</v>
      </c>
    </row>
    <row r="109" spans="1:6">
      <c r="A109" t="s">
        <v>969</v>
      </c>
      <c r="C109" s="179"/>
      <c r="D109" s="179"/>
      <c r="E109" s="179"/>
      <c r="F109" s="100"/>
    </row>
    <row r="110" spans="1:6">
      <c r="A110" t="s">
        <v>970</v>
      </c>
      <c r="C110" s="179" t="s">
        <v>879</v>
      </c>
      <c r="D110" s="179"/>
      <c r="E110" s="179"/>
      <c r="F110" s="100"/>
    </row>
    <row r="111" spans="1:6">
      <c r="A111" t="s">
        <v>971</v>
      </c>
      <c r="C111" s="179" t="s">
        <v>879</v>
      </c>
      <c r="D111" s="179"/>
      <c r="E111" s="179"/>
      <c r="F111" s="100"/>
    </row>
    <row r="112" spans="1:6">
      <c r="A112" t="s">
        <v>972</v>
      </c>
      <c r="C112" s="179"/>
      <c r="D112" s="179" t="s">
        <v>879</v>
      </c>
      <c r="E112" s="179"/>
      <c r="F112" s="100"/>
    </row>
    <row r="113" spans="1:6">
      <c r="A113" t="s">
        <v>973</v>
      </c>
      <c r="C113" s="179"/>
      <c r="D113" s="179" t="s">
        <v>879</v>
      </c>
      <c r="E113" s="179"/>
      <c r="F113" s="100"/>
    </row>
    <row r="114" spans="1:6">
      <c r="A114" t="s">
        <v>974</v>
      </c>
      <c r="C114" s="179"/>
      <c r="D114" s="179"/>
      <c r="E114" s="179"/>
      <c r="F114" s="100"/>
    </row>
    <row r="115" spans="1:6">
      <c r="A115" t="s">
        <v>971</v>
      </c>
      <c r="C115" s="179" t="s">
        <v>879</v>
      </c>
      <c r="D115" s="179"/>
      <c r="E115" s="179"/>
      <c r="F115" s="100"/>
    </row>
    <row r="116" spans="1:6">
      <c r="A116" t="s">
        <v>972</v>
      </c>
      <c r="C116" s="179"/>
      <c r="D116" s="179" t="s">
        <v>879</v>
      </c>
      <c r="E116" s="179"/>
      <c r="F116" s="100"/>
    </row>
    <row r="117" spans="1:6" hidden="1">
      <c r="A117" t="s">
        <v>975</v>
      </c>
      <c r="C117" s="100"/>
      <c r="D117" s="100"/>
      <c r="E117" s="179" t="s">
        <v>879</v>
      </c>
      <c r="F117" s="100" t="s">
        <v>976</v>
      </c>
    </row>
    <row r="118" spans="1:6">
      <c r="A118" t="s">
        <v>977</v>
      </c>
      <c r="C118" s="100"/>
      <c r="D118" s="179" t="s">
        <v>879</v>
      </c>
      <c r="E118" s="179"/>
      <c r="F118" s="100"/>
    </row>
    <row r="119" spans="1:6">
      <c r="A119" t="s">
        <v>978</v>
      </c>
      <c r="C119" s="179"/>
      <c r="D119" s="179" t="s">
        <v>879</v>
      </c>
      <c r="E119" s="179"/>
      <c r="F119" s="100"/>
    </row>
    <row r="120" spans="1:6">
      <c r="A120" t="s">
        <v>979</v>
      </c>
      <c r="C120" s="179"/>
      <c r="D120" s="179"/>
      <c r="E120" s="179"/>
      <c r="F120" s="100" t="s">
        <v>921</v>
      </c>
    </row>
    <row r="121" spans="1:6">
      <c r="A121" s="185" t="s">
        <v>980</v>
      </c>
    </row>
    <row r="122" spans="1:6">
      <c r="A122" t="s">
        <v>981</v>
      </c>
    </row>
  </sheetData>
  <printOptions horizontalCentered="1"/>
  <pageMargins left="0.75" right="0.75" top="1" bottom="1" header="0.5" footer="0.5"/>
  <pageSetup scale="79" fitToHeight="2" orientation="portrait" horizontalDpi="4294967292" verticalDpi="4294967292" r:id="rId1"/>
  <headerFooter alignWithMargins="0">
    <oddFooter>&amp;LScot Chambers
&amp;D&amp;CPage _____&amp;R&amp;F
&amp;A</oddFooter>
  </headerFooter>
  <rowBreaks count="3" manualBreakCount="3">
    <brk id="61" max="65535" man="1"/>
    <brk id="62" max="5" man="1"/>
    <brk id="65" max="5" man="1"/>
  </row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applyStyles="1"/>
    <pageSetUpPr fitToPage="1"/>
  </sheetPr>
  <dimension ref="A1:M901"/>
  <sheetViews>
    <sheetView zoomScale="80" workbookViewId="0">
      <pane ySplit="2" topLeftCell="A263" activePane="bottomLeft" state="frozen"/>
      <selection activeCell="E5" sqref="E5"/>
      <selection pane="bottomLeft" activeCell="L292" sqref="L292"/>
    </sheetView>
  </sheetViews>
  <sheetFormatPr defaultRowHeight="12.75" outlineLevelRow="2"/>
  <cols>
    <col min="1" max="1" width="23.7109375" style="3" hidden="1" customWidth="1"/>
    <col min="2" max="2" width="24.42578125" style="3" hidden="1" customWidth="1"/>
    <col min="3" max="3" width="20.85546875" style="3" hidden="1" customWidth="1"/>
    <col min="4" max="4" width="22.85546875" style="3" hidden="1" customWidth="1"/>
    <col min="5" max="5" width="35.140625" style="3" customWidth="1"/>
    <col min="6" max="6" width="42.5703125" style="3" customWidth="1"/>
    <col min="7" max="7" width="15.140625" style="3" customWidth="1"/>
    <col min="8" max="8" width="15.7109375" style="3" customWidth="1"/>
    <col min="9" max="9" width="15.7109375" style="3" hidden="1" customWidth="1"/>
    <col min="10" max="10" width="13.85546875" style="3" hidden="1" customWidth="1"/>
    <col min="11" max="11" width="2.5703125" style="3" customWidth="1"/>
    <col min="12" max="12" width="9.42578125" style="45" customWidth="1"/>
    <col min="13" max="13" width="9.140625" style="45"/>
    <col min="14" max="16384" width="9.140625" style="3"/>
  </cols>
  <sheetData>
    <row r="1" spans="1:13" ht="18" customHeight="1" thickBot="1">
      <c r="L1" s="3"/>
      <c r="M1" s="3"/>
    </row>
    <row r="2" spans="1:13" ht="17.25" customHeight="1" thickBot="1">
      <c r="B2" s="186" t="s">
        <v>982</v>
      </c>
      <c r="C2" s="186" t="s">
        <v>983</v>
      </c>
      <c r="D2" s="186" t="s">
        <v>984</v>
      </c>
      <c r="E2" s="187" t="s">
        <v>985</v>
      </c>
      <c r="F2" s="188" t="s">
        <v>986</v>
      </c>
      <c r="G2" s="189"/>
      <c r="H2" s="190" t="s">
        <v>987</v>
      </c>
      <c r="I2" s="190" t="s">
        <v>988</v>
      </c>
      <c r="J2" s="190" t="s">
        <v>989</v>
      </c>
      <c r="L2" s="191" t="s">
        <v>990</v>
      </c>
    </row>
    <row r="3" spans="1:13" ht="17.25" customHeight="1">
      <c r="B3" s="186"/>
      <c r="C3" s="186"/>
      <c r="D3" s="186"/>
      <c r="E3" s="192" t="str">
        <f>Scope!A1</f>
        <v>City of Austin 4 x LM6000 Power Project</v>
      </c>
      <c r="F3" s="193"/>
      <c r="G3" s="193"/>
      <c r="H3" s="194"/>
      <c r="I3" s="194"/>
      <c r="J3" s="194"/>
      <c r="L3" s="191"/>
    </row>
    <row r="4" spans="1:13" ht="23.25" customHeight="1" thickBot="1">
      <c r="B4" s="186"/>
      <c r="C4" s="186"/>
      <c r="D4" s="186"/>
      <c r="E4" s="195" t="s">
        <v>991</v>
      </c>
      <c r="F4" s="196"/>
      <c r="G4" s="196"/>
      <c r="H4" s="197"/>
      <c r="I4" s="197"/>
      <c r="J4" s="197"/>
      <c r="L4" s="191"/>
    </row>
    <row r="5" spans="1:13" s="203" customFormat="1" ht="13.5" outlineLevel="1" thickBot="1">
      <c r="A5" s="3" t="s">
        <v>992</v>
      </c>
      <c r="B5" s="3" t="s">
        <v>993</v>
      </c>
      <c r="C5" s="3" t="s">
        <v>994</v>
      </c>
      <c r="D5" s="3" t="s">
        <v>995</v>
      </c>
      <c r="E5" s="198" t="s">
        <v>761</v>
      </c>
      <c r="F5" s="199"/>
      <c r="G5" s="200"/>
      <c r="H5" s="201"/>
      <c r="I5" s="201"/>
      <c r="J5" s="202"/>
    </row>
    <row r="6" spans="1:13" ht="13.5" outlineLevel="2" thickBot="1">
      <c r="A6" s="3" t="str">
        <f>B6&amp;C6&amp;D6</f>
        <v>O&amp;M Mobilization BudgetOperating ExpensesPublic Relations</v>
      </c>
      <c r="B6" s="3" t="s">
        <v>993</v>
      </c>
      <c r="C6" s="3" t="s">
        <v>994</v>
      </c>
      <c r="D6" s="3" t="s">
        <v>995</v>
      </c>
      <c r="E6" s="204" t="s">
        <v>996</v>
      </c>
      <c r="F6" s="41" t="s">
        <v>997</v>
      </c>
      <c r="G6" s="205"/>
      <c r="H6" s="206"/>
      <c r="I6" s="206">
        <f t="shared" ref="I6:I15" si="0">H6</f>
        <v>0</v>
      </c>
      <c r="J6" s="206">
        <f t="shared" ref="J6:J15" si="1">H6-I6</f>
        <v>0</v>
      </c>
      <c r="L6" s="3"/>
      <c r="M6" s="3"/>
    </row>
    <row r="7" spans="1:13" ht="13.5" outlineLevel="2" thickBot="1">
      <c r="E7" s="204" t="s">
        <v>998</v>
      </c>
      <c r="F7" s="41" t="s">
        <v>999</v>
      </c>
      <c r="G7" s="205"/>
      <c r="H7" s="206"/>
      <c r="I7" s="206">
        <f t="shared" si="0"/>
        <v>0</v>
      </c>
      <c r="J7" s="206">
        <f t="shared" si="1"/>
        <v>0</v>
      </c>
      <c r="L7" s="3"/>
      <c r="M7" s="3"/>
    </row>
    <row r="8" spans="1:13" ht="13.5" outlineLevel="2" thickBot="1">
      <c r="E8" s="204" t="s">
        <v>1000</v>
      </c>
      <c r="F8" s="41" t="s">
        <v>1001</v>
      </c>
      <c r="G8" s="205"/>
      <c r="H8" s="206"/>
      <c r="I8" s="206">
        <f t="shared" si="0"/>
        <v>0</v>
      </c>
      <c r="J8" s="206">
        <f t="shared" si="1"/>
        <v>0</v>
      </c>
      <c r="L8" s="3"/>
      <c r="M8" s="3"/>
    </row>
    <row r="9" spans="1:13" ht="13.5" outlineLevel="2" thickBot="1">
      <c r="E9" s="204" t="s">
        <v>1002</v>
      </c>
      <c r="F9" s="41"/>
      <c r="G9" s="205"/>
      <c r="H9" s="206"/>
      <c r="I9" s="206">
        <f t="shared" si="0"/>
        <v>0</v>
      </c>
      <c r="J9" s="206">
        <f t="shared" si="1"/>
        <v>0</v>
      </c>
      <c r="L9" s="3"/>
      <c r="M9" s="3"/>
    </row>
    <row r="10" spans="1:13" ht="13.5" outlineLevel="2" thickBot="1">
      <c r="E10" s="204"/>
      <c r="F10" s="41"/>
      <c r="G10" s="205"/>
      <c r="H10" s="206"/>
      <c r="I10" s="206">
        <f t="shared" si="0"/>
        <v>0</v>
      </c>
      <c r="J10" s="206">
        <f t="shared" si="1"/>
        <v>0</v>
      </c>
      <c r="L10" s="3"/>
      <c r="M10" s="3"/>
    </row>
    <row r="11" spans="1:13" ht="13.5" outlineLevel="2" thickBot="1">
      <c r="E11" s="204"/>
      <c r="F11" s="41"/>
      <c r="G11" s="205"/>
      <c r="H11" s="206"/>
      <c r="I11" s="206">
        <f t="shared" si="0"/>
        <v>0</v>
      </c>
      <c r="J11" s="206">
        <f t="shared" si="1"/>
        <v>0</v>
      </c>
      <c r="L11" s="3"/>
      <c r="M11" s="3"/>
    </row>
    <row r="12" spans="1:13" ht="13.5" outlineLevel="2" thickBot="1">
      <c r="E12" s="204"/>
      <c r="F12" s="41"/>
      <c r="G12" s="205"/>
      <c r="H12" s="206"/>
      <c r="I12" s="206">
        <f t="shared" si="0"/>
        <v>0</v>
      </c>
      <c r="J12" s="206">
        <f t="shared" si="1"/>
        <v>0</v>
      </c>
      <c r="L12" s="3"/>
      <c r="M12" s="3"/>
    </row>
    <row r="13" spans="1:13" ht="13.5" outlineLevel="2" thickBot="1">
      <c r="E13" s="204"/>
      <c r="F13" s="41"/>
      <c r="G13" s="205"/>
      <c r="H13" s="206"/>
      <c r="I13" s="206">
        <f t="shared" si="0"/>
        <v>0</v>
      </c>
      <c r="J13" s="206">
        <f t="shared" si="1"/>
        <v>0</v>
      </c>
      <c r="L13" s="3"/>
      <c r="M13" s="3"/>
    </row>
    <row r="14" spans="1:13" ht="13.5" outlineLevel="2" thickBot="1">
      <c r="E14" s="204"/>
      <c r="F14" s="41"/>
      <c r="G14" s="205"/>
      <c r="H14" s="206"/>
      <c r="I14" s="206">
        <f t="shared" si="0"/>
        <v>0</v>
      </c>
      <c r="J14" s="206">
        <f t="shared" si="1"/>
        <v>0</v>
      </c>
      <c r="L14" s="3"/>
      <c r="M14" s="3"/>
    </row>
    <row r="15" spans="1:13" ht="13.5" outlineLevel="2" thickBot="1">
      <c r="E15" s="204"/>
      <c r="F15" s="41"/>
      <c r="G15" s="205"/>
      <c r="H15" s="206"/>
      <c r="I15" s="206">
        <f t="shared" si="0"/>
        <v>0</v>
      </c>
      <c r="J15" s="206">
        <f t="shared" si="1"/>
        <v>0</v>
      </c>
      <c r="L15" s="3"/>
      <c r="M15" s="3"/>
    </row>
    <row r="16" spans="1:13" s="203" customFormat="1" ht="13.5" outlineLevel="1" thickBot="1">
      <c r="A16" s="203" t="s">
        <v>1003</v>
      </c>
      <c r="B16" s="203" t="s">
        <v>993</v>
      </c>
      <c r="C16" s="203" t="s">
        <v>994</v>
      </c>
      <c r="D16" s="203" t="s">
        <v>995</v>
      </c>
      <c r="E16" s="41" t="s">
        <v>1004</v>
      </c>
      <c r="G16" s="207" t="s">
        <v>1005</v>
      </c>
      <c r="H16" s="208">
        <f>SUBTOTAL(9,H6:H15)</f>
        <v>0</v>
      </c>
      <c r="I16" s="208">
        <f>SUBTOTAL(9,I6:I15)</f>
        <v>0</v>
      </c>
      <c r="J16" s="208">
        <f>SUBTOTAL(9,J6:J15)</f>
        <v>0</v>
      </c>
    </row>
    <row r="17" spans="1:13" ht="13.5" customHeight="1" thickBot="1">
      <c r="A17" s="3" t="s">
        <v>1006</v>
      </c>
      <c r="B17" s="3" t="s">
        <v>993</v>
      </c>
      <c r="C17" s="3" t="s">
        <v>994</v>
      </c>
      <c r="D17" s="3" t="s">
        <v>1007</v>
      </c>
      <c r="E17" s="209" t="s">
        <v>1007</v>
      </c>
      <c r="F17" s="210"/>
      <c r="G17" s="211"/>
      <c r="H17" s="212"/>
      <c r="I17" s="213"/>
      <c r="J17" s="214"/>
      <c r="M17" s="3"/>
    </row>
    <row r="18" spans="1:13" ht="13.5" customHeight="1" outlineLevel="2" thickBot="1">
      <c r="E18" s="204" t="s">
        <v>1008</v>
      </c>
      <c r="F18" s="41"/>
      <c r="G18" s="205"/>
      <c r="H18" s="206">
        <f>'Pay &amp; Benefits Calculations'!P55</f>
        <v>117282.88608738461</v>
      </c>
      <c r="I18" s="206">
        <f>H18</f>
        <v>117282.88608738461</v>
      </c>
      <c r="J18" s="206">
        <f>H18-I18</f>
        <v>0</v>
      </c>
      <c r="L18" s="3"/>
      <c r="M18" s="3"/>
    </row>
    <row r="19" spans="1:13" ht="13.5" customHeight="1" outlineLevel="2" thickBot="1">
      <c r="E19" s="204" t="s">
        <v>1009</v>
      </c>
      <c r="F19" s="41"/>
      <c r="G19" s="205"/>
      <c r="H19" s="206"/>
      <c r="I19" s="206">
        <f>H19</f>
        <v>0</v>
      </c>
      <c r="J19" s="206">
        <f>H19-I19</f>
        <v>0</v>
      </c>
      <c r="L19" s="3"/>
      <c r="M19" s="3"/>
    </row>
    <row r="20" spans="1:13" ht="13.5" customHeight="1" outlineLevel="2" thickBot="1">
      <c r="E20" s="204"/>
      <c r="F20" s="41"/>
      <c r="G20" s="205"/>
      <c r="H20" s="206"/>
      <c r="I20" s="206">
        <f>H20</f>
        <v>0</v>
      </c>
      <c r="J20" s="206">
        <f>H20-I20</f>
        <v>0</v>
      </c>
      <c r="L20" s="3"/>
      <c r="M20" s="3"/>
    </row>
    <row r="21" spans="1:13" ht="13.5" customHeight="1" outlineLevel="2" thickBot="1">
      <c r="E21" s="204"/>
      <c r="F21" s="41"/>
      <c r="G21" s="205"/>
      <c r="H21" s="206"/>
      <c r="I21" s="206">
        <f>H21</f>
        <v>0</v>
      </c>
      <c r="J21" s="206">
        <f>H21-I21</f>
        <v>0</v>
      </c>
      <c r="L21" s="3"/>
      <c r="M21" s="3"/>
    </row>
    <row r="22" spans="1:13" s="203" customFormat="1" ht="13.5" customHeight="1" outlineLevel="1" thickBot="1">
      <c r="A22" s="215" t="s">
        <v>1010</v>
      </c>
      <c r="B22" s="203" t="s">
        <v>993</v>
      </c>
      <c r="C22" s="203" t="s">
        <v>994</v>
      </c>
      <c r="D22" s="203" t="s">
        <v>1007</v>
      </c>
      <c r="E22" s="204"/>
      <c r="F22" s="41"/>
      <c r="G22" s="207" t="s">
        <v>1005</v>
      </c>
      <c r="H22" s="208">
        <f>SUBTOTAL(9,H18:H21)</f>
        <v>117282.88608738461</v>
      </c>
      <c r="I22" s="208">
        <f>SUBTOTAL(9,I18:I21)</f>
        <v>117282.88608738461</v>
      </c>
      <c r="J22" s="208">
        <f>SUBTOTAL(9,J18:J21)</f>
        <v>0</v>
      </c>
    </row>
    <row r="23" spans="1:13" s="203" customFormat="1" ht="13.5" customHeight="1" outlineLevel="1" thickBot="1">
      <c r="A23" s="3" t="s">
        <v>1011</v>
      </c>
      <c r="B23" s="3" t="s">
        <v>993</v>
      </c>
      <c r="C23" s="3" t="s">
        <v>994</v>
      </c>
      <c r="D23" s="3" t="s">
        <v>785</v>
      </c>
      <c r="E23" s="209" t="s">
        <v>785</v>
      </c>
      <c r="F23" s="210"/>
      <c r="G23" s="211"/>
      <c r="H23" s="201"/>
      <c r="I23" s="202"/>
      <c r="J23" s="202"/>
    </row>
    <row r="24" spans="1:13" ht="13.5" customHeight="1" outlineLevel="2" thickBot="1">
      <c r="A24" s="3" t="str">
        <f>B24&amp;C24&amp;D24</f>
        <v>O&amp;M Mobilization BudgetOperating ExpensesEmployee Expenses</v>
      </c>
      <c r="B24" s="3" t="s">
        <v>993</v>
      </c>
      <c r="C24" s="3" t="s">
        <v>994</v>
      </c>
      <c r="D24" s="3" t="s">
        <v>785</v>
      </c>
      <c r="E24" s="204" t="s">
        <v>1012</v>
      </c>
      <c r="F24" s="41" t="s">
        <v>617</v>
      </c>
      <c r="G24" s="205"/>
      <c r="H24" s="206">
        <v>1000</v>
      </c>
      <c r="I24" s="206">
        <f>H24-J24</f>
        <v>1000</v>
      </c>
      <c r="J24" s="206"/>
      <c r="L24" s="3"/>
      <c r="M24" s="3"/>
    </row>
    <row r="25" spans="1:13" ht="13.5" customHeight="1" outlineLevel="2" thickBot="1">
      <c r="E25" s="204" t="s">
        <v>1013</v>
      </c>
      <c r="F25" s="41" t="s">
        <v>1014</v>
      </c>
      <c r="G25" s="205"/>
      <c r="H25" s="206">
        <v>1200</v>
      </c>
      <c r="I25" s="206">
        <f>H25-J25</f>
        <v>1200</v>
      </c>
      <c r="J25" s="206"/>
      <c r="L25" s="3"/>
      <c r="M25" s="3"/>
    </row>
    <row r="26" spans="1:13" ht="13.5" customHeight="1" outlineLevel="2" thickBot="1">
      <c r="E26" s="204" t="s">
        <v>1015</v>
      </c>
      <c r="F26" s="41"/>
      <c r="G26" s="205"/>
      <c r="H26" s="206">
        <v>1000</v>
      </c>
      <c r="I26" s="206">
        <f>H26-J26</f>
        <v>1000</v>
      </c>
      <c r="J26" s="206"/>
      <c r="L26" s="3"/>
      <c r="M26" s="3"/>
    </row>
    <row r="27" spans="1:13" ht="13.5" customHeight="1" outlineLevel="2" thickBot="1">
      <c r="E27" s="204" t="s">
        <v>785</v>
      </c>
      <c r="F27" s="41" t="s">
        <v>599</v>
      </c>
      <c r="G27" s="205"/>
      <c r="H27" s="206">
        <v>750</v>
      </c>
      <c r="I27" s="206"/>
      <c r="J27" s="206"/>
      <c r="L27" s="3"/>
      <c r="M27" s="3"/>
    </row>
    <row r="28" spans="1:13" s="203" customFormat="1" ht="13.5" customHeight="1" outlineLevel="1" thickBot="1">
      <c r="A28" s="203" t="s">
        <v>1016</v>
      </c>
      <c r="B28" s="203" t="s">
        <v>993</v>
      </c>
      <c r="C28" s="203" t="s">
        <v>994</v>
      </c>
      <c r="D28" s="203" t="s">
        <v>785</v>
      </c>
      <c r="E28" s="204"/>
      <c r="F28" s="41"/>
      <c r="G28" s="207" t="s">
        <v>1005</v>
      </c>
      <c r="H28" s="208">
        <f>SUBTOTAL(9,H24:H27)</f>
        <v>3950</v>
      </c>
      <c r="I28" s="208">
        <f>SUBTOTAL(9,I24:I26)</f>
        <v>3200</v>
      </c>
      <c r="J28" s="208">
        <f>SUBTOTAL(9,J24:J26)</f>
        <v>0</v>
      </c>
    </row>
    <row r="29" spans="1:13" s="203" customFormat="1" ht="13.5" customHeight="1" outlineLevel="1" thickBot="1">
      <c r="A29" s="3" t="s">
        <v>1017</v>
      </c>
      <c r="B29" s="3" t="s">
        <v>993</v>
      </c>
      <c r="C29" s="3" t="s">
        <v>994</v>
      </c>
      <c r="D29" s="3" t="s">
        <v>786</v>
      </c>
      <c r="E29" s="209" t="s">
        <v>786</v>
      </c>
      <c r="F29" s="210"/>
      <c r="G29" s="211"/>
      <c r="H29" s="201"/>
      <c r="I29" s="202"/>
      <c r="J29" s="201"/>
    </row>
    <row r="30" spans="1:13" ht="13.5" outlineLevel="2" thickBot="1">
      <c r="A30" s="3" t="str">
        <f>B30&amp;C30&amp;D30</f>
        <v>O&amp;M Mobilization BudgetOperating ExpensesRecruiting Expenses</v>
      </c>
      <c r="B30" s="3" t="s">
        <v>993</v>
      </c>
      <c r="C30" s="3" t="s">
        <v>994</v>
      </c>
      <c r="D30" s="3" t="s">
        <v>786</v>
      </c>
      <c r="E30" s="216" t="s">
        <v>1018</v>
      </c>
      <c r="F30" s="41" t="s">
        <v>613</v>
      </c>
      <c r="G30" s="205"/>
      <c r="H30" s="206">
        <v>0</v>
      </c>
      <c r="I30" s="206">
        <f>H30</f>
        <v>0</v>
      </c>
      <c r="J30" s="206">
        <f>H30-I30</f>
        <v>0</v>
      </c>
      <c r="L30" s="3"/>
      <c r="M30" s="3"/>
    </row>
    <row r="31" spans="1:13" ht="13.5" customHeight="1" outlineLevel="2" thickBot="1">
      <c r="A31" s="3" t="str">
        <f>B31&amp;C31&amp;D31</f>
        <v>O&amp;M Mobilization BudgetOperating ExpensesRecruiting Expenses</v>
      </c>
      <c r="B31" s="3" t="s">
        <v>993</v>
      </c>
      <c r="C31" s="3" t="s">
        <v>994</v>
      </c>
      <c r="D31" s="3" t="s">
        <v>786</v>
      </c>
      <c r="E31" s="216" t="s">
        <v>1019</v>
      </c>
      <c r="F31" s="41" t="s">
        <v>1020</v>
      </c>
      <c r="G31" s="205"/>
      <c r="H31" s="206">
        <v>3000</v>
      </c>
      <c r="I31" s="206">
        <f>H31</f>
        <v>3000</v>
      </c>
      <c r="J31" s="206">
        <f>H31-I31</f>
        <v>0</v>
      </c>
      <c r="L31" s="3"/>
      <c r="M31" s="3"/>
    </row>
    <row r="32" spans="1:13" ht="13.5" customHeight="1" outlineLevel="2" thickBot="1">
      <c r="E32" s="216" t="s">
        <v>1021</v>
      </c>
      <c r="F32" s="41" t="s">
        <v>1022</v>
      </c>
      <c r="G32" s="205"/>
      <c r="H32" s="206">
        <f>200*Plt_Staff!B20</f>
        <v>1000</v>
      </c>
      <c r="I32" s="206">
        <f>H32</f>
        <v>1000</v>
      </c>
      <c r="J32" s="206">
        <f>H32-I32</f>
        <v>0</v>
      </c>
      <c r="L32" s="3"/>
      <c r="M32" s="3"/>
    </row>
    <row r="33" spans="1:13" ht="13.5" customHeight="1" outlineLevel="2" thickBot="1">
      <c r="E33" s="204" t="s">
        <v>1023</v>
      </c>
      <c r="F33" s="41" t="s">
        <v>1024</v>
      </c>
      <c r="G33" s="205"/>
      <c r="H33" s="206">
        <v>1000</v>
      </c>
      <c r="I33" s="206">
        <f>H33</f>
        <v>1000</v>
      </c>
      <c r="J33" s="206">
        <f>H33-I33</f>
        <v>0</v>
      </c>
      <c r="L33" s="3"/>
      <c r="M33" s="3"/>
    </row>
    <row r="34" spans="1:13" ht="13.5" customHeight="1" outlineLevel="2" thickBot="1">
      <c r="E34" s="204"/>
      <c r="F34" s="41"/>
      <c r="G34" s="205"/>
      <c r="H34" s="206"/>
      <c r="I34" s="206"/>
      <c r="J34" s="206"/>
      <c r="L34" s="3"/>
      <c r="M34" s="3"/>
    </row>
    <row r="35" spans="1:13" s="203" customFormat="1" ht="13.5" outlineLevel="1" thickBot="1">
      <c r="A35" s="203" t="s">
        <v>1025</v>
      </c>
      <c r="B35" s="203" t="s">
        <v>993</v>
      </c>
      <c r="C35" s="203" t="s">
        <v>994</v>
      </c>
      <c r="D35" s="203" t="s">
        <v>786</v>
      </c>
      <c r="E35" s="204"/>
      <c r="F35" s="41"/>
      <c r="G35" s="207" t="s">
        <v>1005</v>
      </c>
      <c r="H35" s="208">
        <f>SUBTOTAL(9,H30:H34)</f>
        <v>5000</v>
      </c>
      <c r="I35" s="208">
        <f>SUBTOTAL(9,I31:I34)</f>
        <v>5000</v>
      </c>
      <c r="J35" s="208">
        <f>SUBTOTAL(9,J30:J34)</f>
        <v>0</v>
      </c>
    </row>
    <row r="36" spans="1:13" s="203" customFormat="1" ht="13.5" outlineLevel="1" thickBot="1">
      <c r="A36" s="3" t="s">
        <v>1026</v>
      </c>
      <c r="B36" s="3" t="s">
        <v>993</v>
      </c>
      <c r="C36" s="3" t="s">
        <v>994</v>
      </c>
      <c r="D36" s="3" t="s">
        <v>787</v>
      </c>
      <c r="E36" s="209" t="s">
        <v>787</v>
      </c>
      <c r="F36" s="210"/>
      <c r="G36" s="211"/>
      <c r="H36" s="201"/>
      <c r="I36" s="202"/>
      <c r="J36" s="201"/>
    </row>
    <row r="37" spans="1:13" ht="13.5" hidden="1" outlineLevel="2" thickBot="1">
      <c r="E37" s="216" t="s">
        <v>1027</v>
      </c>
      <c r="F37" s="217"/>
      <c r="G37" s="205"/>
      <c r="H37" s="206">
        <f>0.25*Plt_Staff!C8</f>
        <v>0</v>
      </c>
      <c r="I37" s="206">
        <f>H37</f>
        <v>0</v>
      </c>
      <c r="J37" s="206">
        <f>H37-I37</f>
        <v>0</v>
      </c>
      <c r="L37" s="3"/>
      <c r="M37" s="3"/>
    </row>
    <row r="38" spans="1:13" ht="13.5" outlineLevel="2" thickBot="1">
      <c r="E38" s="204" t="s">
        <v>1028</v>
      </c>
      <c r="F38" s="217" t="s">
        <v>1029</v>
      </c>
      <c r="G38" s="205"/>
      <c r="H38" s="206">
        <v>5000</v>
      </c>
      <c r="I38" s="206">
        <f>H38</f>
        <v>5000</v>
      </c>
      <c r="J38" s="206">
        <f>H38-I38</f>
        <v>0</v>
      </c>
      <c r="L38" s="3"/>
      <c r="M38" s="3"/>
    </row>
    <row r="39" spans="1:13" ht="13.5" outlineLevel="2" thickBot="1">
      <c r="E39" s="204" t="s">
        <v>1030</v>
      </c>
      <c r="F39" s="217" t="s">
        <v>1029</v>
      </c>
      <c r="G39" s="205"/>
      <c r="H39" s="206">
        <v>5000</v>
      </c>
      <c r="I39" s="206">
        <f>H39</f>
        <v>5000</v>
      </c>
      <c r="J39" s="206">
        <f>H39-I39</f>
        <v>0</v>
      </c>
      <c r="L39" s="3"/>
      <c r="M39" s="3"/>
    </row>
    <row r="40" spans="1:13" ht="13.5" outlineLevel="2" thickBot="1">
      <c r="E40" s="204" t="s">
        <v>1031</v>
      </c>
      <c r="F40" s="41"/>
      <c r="G40" s="205"/>
      <c r="H40" s="206"/>
      <c r="I40" s="206"/>
      <c r="J40" s="206"/>
      <c r="L40" s="3"/>
      <c r="M40" s="3"/>
    </row>
    <row r="41" spans="1:13" s="203" customFormat="1" ht="13.5" outlineLevel="1" thickBot="1">
      <c r="A41" s="203" t="s">
        <v>1032</v>
      </c>
      <c r="B41" s="203" t="s">
        <v>993</v>
      </c>
      <c r="C41" s="203" t="s">
        <v>994</v>
      </c>
      <c r="D41" s="203" t="s">
        <v>787</v>
      </c>
      <c r="E41" s="204"/>
      <c r="F41" s="41"/>
      <c r="G41" s="207" t="s">
        <v>1005</v>
      </c>
      <c r="H41" s="208">
        <f>SUBTOTAL(9,H37:H39)</f>
        <v>10000</v>
      </c>
      <c r="I41" s="208">
        <f>SUBTOTAL(9,I37:I39)</f>
        <v>10000</v>
      </c>
      <c r="J41" s="208">
        <f>SUBTOTAL(9,J37:J39)</f>
        <v>0</v>
      </c>
    </row>
    <row r="42" spans="1:13" s="203" customFormat="1" ht="13.5" outlineLevel="1" thickBot="1">
      <c r="A42" s="3" t="s">
        <v>1033</v>
      </c>
      <c r="B42" s="3" t="s">
        <v>993</v>
      </c>
      <c r="C42" s="3" t="s">
        <v>994</v>
      </c>
      <c r="D42" s="3" t="s">
        <v>788</v>
      </c>
      <c r="E42" s="209" t="s">
        <v>788</v>
      </c>
      <c r="F42" s="210"/>
      <c r="G42" s="211"/>
      <c r="H42" s="201"/>
      <c r="I42" s="201"/>
      <c r="J42" s="201"/>
    </row>
    <row r="43" spans="1:13" ht="13.5" outlineLevel="2" thickBot="1">
      <c r="A43" s="3" t="str">
        <f>B43&amp;C43&amp;D43</f>
        <v>O&amp;M Mobilization BudgetOperating ExpensesOutside Services</v>
      </c>
      <c r="B43" s="3" t="s">
        <v>993</v>
      </c>
      <c r="C43" s="3" t="s">
        <v>994</v>
      </c>
      <c r="D43" s="3" t="s">
        <v>788</v>
      </c>
      <c r="E43" s="204" t="s">
        <v>1034</v>
      </c>
      <c r="F43" s="41" t="s">
        <v>1035</v>
      </c>
      <c r="G43" s="205"/>
      <c r="H43" s="206"/>
      <c r="I43" s="206">
        <f t="shared" ref="I43:I50" si="2">H43</f>
        <v>0</v>
      </c>
      <c r="J43" s="206">
        <f t="shared" ref="J43:J50" si="3">H43-I43</f>
        <v>0</v>
      </c>
      <c r="L43" s="3"/>
      <c r="M43" s="3"/>
    </row>
    <row r="44" spans="1:13" ht="13.5" outlineLevel="2" thickBot="1">
      <c r="A44" s="3" t="str">
        <f>B44&amp;C44&amp;D44</f>
        <v>O&amp;M Mobilization BudgetOperating ExpensesOutside Services</v>
      </c>
      <c r="B44" s="3" t="s">
        <v>993</v>
      </c>
      <c r="C44" s="3" t="s">
        <v>994</v>
      </c>
      <c r="D44" s="3" t="s">
        <v>788</v>
      </c>
      <c r="E44" s="204" t="s">
        <v>1036</v>
      </c>
      <c r="F44" s="41" t="s">
        <v>1035</v>
      </c>
      <c r="G44" s="205"/>
      <c r="H44" s="206"/>
      <c r="I44" s="206">
        <f t="shared" si="2"/>
        <v>0</v>
      </c>
      <c r="J44" s="206">
        <f t="shared" si="3"/>
        <v>0</v>
      </c>
      <c r="L44" s="3"/>
      <c r="M44" s="3"/>
    </row>
    <row r="45" spans="1:13" ht="13.5" outlineLevel="2" thickBot="1">
      <c r="A45" s="3" t="str">
        <f>B45&amp;C45&amp;D45</f>
        <v>O&amp;M Mobilization BudgetOperating ExpensesOutside Services</v>
      </c>
      <c r="B45" s="3" t="s">
        <v>993</v>
      </c>
      <c r="C45" s="3" t="s">
        <v>994</v>
      </c>
      <c r="D45" s="3" t="s">
        <v>788</v>
      </c>
      <c r="E45" s="204" t="s">
        <v>1037</v>
      </c>
      <c r="F45" s="41" t="s">
        <v>1038</v>
      </c>
      <c r="G45" s="205"/>
      <c r="H45" s="206">
        <f>800*4</f>
        <v>3200</v>
      </c>
      <c r="I45" s="206">
        <f t="shared" si="2"/>
        <v>3200</v>
      </c>
      <c r="J45" s="206">
        <f t="shared" si="3"/>
        <v>0</v>
      </c>
      <c r="L45" s="3"/>
      <c r="M45" s="3"/>
    </row>
    <row r="46" spans="1:13" ht="13.5" outlineLevel="2" thickBot="1">
      <c r="A46" s="3" t="str">
        <f>B46&amp;C46&amp;D46</f>
        <v>O&amp;M Mobilization BudgetOperating ExpensesOutside Services</v>
      </c>
      <c r="B46" s="3" t="s">
        <v>993</v>
      </c>
      <c r="C46" s="3" t="s">
        <v>994</v>
      </c>
      <c r="D46" s="3" t="s">
        <v>788</v>
      </c>
      <c r="E46" s="204" t="s">
        <v>1039</v>
      </c>
      <c r="F46" s="41" t="s">
        <v>613</v>
      </c>
      <c r="G46" s="205"/>
      <c r="H46" s="206">
        <v>0</v>
      </c>
      <c r="I46" s="206">
        <f t="shared" si="2"/>
        <v>0</v>
      </c>
      <c r="J46" s="206">
        <f t="shared" si="3"/>
        <v>0</v>
      </c>
      <c r="L46" s="3"/>
      <c r="M46" s="3"/>
    </row>
    <row r="47" spans="1:13" ht="13.5" outlineLevel="2" thickBot="1">
      <c r="E47" s="204" t="s">
        <v>1040</v>
      </c>
      <c r="F47" s="41" t="s">
        <v>613</v>
      </c>
      <c r="G47" s="205"/>
      <c r="H47" s="206">
        <v>0</v>
      </c>
      <c r="I47" s="206">
        <f t="shared" si="2"/>
        <v>0</v>
      </c>
      <c r="J47" s="206">
        <f t="shared" si="3"/>
        <v>0</v>
      </c>
      <c r="L47" s="3"/>
      <c r="M47" s="3"/>
    </row>
    <row r="48" spans="1:13" ht="13.5" outlineLevel="2" thickBot="1">
      <c r="A48" s="3" t="str">
        <f>B48&amp;C48&amp;D48</f>
        <v>O&amp;M Mobilization BudgetOperating ExpensesOutside Services</v>
      </c>
      <c r="B48" s="3" t="s">
        <v>993</v>
      </c>
      <c r="C48" s="3" t="s">
        <v>994</v>
      </c>
      <c r="D48" s="3" t="s">
        <v>788</v>
      </c>
      <c r="E48" s="204" t="s">
        <v>1041</v>
      </c>
      <c r="F48" s="41" t="s">
        <v>613</v>
      </c>
      <c r="G48" s="205"/>
      <c r="H48" s="206">
        <v>0</v>
      </c>
      <c r="I48" s="206">
        <f t="shared" si="2"/>
        <v>0</v>
      </c>
      <c r="J48" s="206">
        <f t="shared" si="3"/>
        <v>0</v>
      </c>
      <c r="L48" s="3"/>
      <c r="M48" s="3"/>
    </row>
    <row r="49" spans="1:13" ht="13.5" outlineLevel="2" thickBot="1">
      <c r="A49" s="3" t="str">
        <f>B49&amp;C49&amp;D49</f>
        <v>O&amp;M Mobilization BudgetOperating ExpensesOutside Services</v>
      </c>
      <c r="B49" s="3" t="s">
        <v>993</v>
      </c>
      <c r="C49" s="3" t="s">
        <v>994</v>
      </c>
      <c r="D49" s="3" t="s">
        <v>788</v>
      </c>
      <c r="E49" s="204" t="s">
        <v>1042</v>
      </c>
      <c r="F49" s="41" t="s">
        <v>613</v>
      </c>
      <c r="G49" s="205"/>
      <c r="H49" s="206"/>
      <c r="I49" s="206">
        <f t="shared" si="2"/>
        <v>0</v>
      </c>
      <c r="J49" s="206">
        <f t="shared" si="3"/>
        <v>0</v>
      </c>
      <c r="L49" s="3"/>
      <c r="M49" s="3"/>
    </row>
    <row r="50" spans="1:13" ht="13.5" outlineLevel="2" thickBot="1">
      <c r="A50" s="3" t="str">
        <f>B50&amp;C50&amp;D50</f>
        <v>O&amp;M Mobilization BudgetOperating ExpensesOutside Services</v>
      </c>
      <c r="B50" s="3" t="s">
        <v>993</v>
      </c>
      <c r="C50" s="3" t="s">
        <v>994</v>
      </c>
      <c r="D50" s="3" t="s">
        <v>788</v>
      </c>
      <c r="E50" s="204" t="s">
        <v>1043</v>
      </c>
      <c r="F50" s="41" t="s">
        <v>613</v>
      </c>
      <c r="G50" s="205"/>
      <c r="H50" s="206"/>
      <c r="I50" s="206">
        <f t="shared" si="2"/>
        <v>0</v>
      </c>
      <c r="J50" s="206">
        <f t="shared" si="3"/>
        <v>0</v>
      </c>
      <c r="L50" s="3"/>
      <c r="M50" s="3"/>
    </row>
    <row r="51" spans="1:13" ht="13.5" outlineLevel="2" thickBot="1">
      <c r="E51" s="204" t="s">
        <v>1044</v>
      </c>
      <c r="F51" s="41" t="s">
        <v>613</v>
      </c>
      <c r="G51" s="205"/>
      <c r="H51" s="206"/>
      <c r="I51" s="206"/>
      <c r="J51" s="206"/>
      <c r="L51" s="3"/>
      <c r="M51" s="3"/>
    </row>
    <row r="52" spans="1:13" ht="13.5" outlineLevel="2" thickBot="1">
      <c r="E52" s="204" t="s">
        <v>1045</v>
      </c>
      <c r="F52" s="41" t="s">
        <v>613</v>
      </c>
      <c r="G52" s="205"/>
      <c r="H52" s="206"/>
      <c r="I52" s="206"/>
      <c r="J52" s="206"/>
      <c r="L52" s="3"/>
      <c r="M52" s="3"/>
    </row>
    <row r="53" spans="1:13" ht="13.5" outlineLevel="2" thickBot="1">
      <c r="E53" s="204" t="s">
        <v>1046</v>
      </c>
      <c r="F53" s="41" t="s">
        <v>1035</v>
      </c>
      <c r="G53" s="205"/>
      <c r="H53" s="206"/>
      <c r="I53" s="206">
        <f>H53</f>
        <v>0</v>
      </c>
      <c r="J53" s="206">
        <f>H53-I53</f>
        <v>0</v>
      </c>
      <c r="L53" s="3"/>
      <c r="M53" s="3"/>
    </row>
    <row r="54" spans="1:13" ht="13.5" outlineLevel="2" thickBot="1">
      <c r="E54" s="204" t="s">
        <v>1047</v>
      </c>
      <c r="F54" s="41" t="s">
        <v>1035</v>
      </c>
      <c r="G54" s="205"/>
      <c r="H54" s="206"/>
      <c r="I54" s="206">
        <f>H54</f>
        <v>0</v>
      </c>
      <c r="J54" s="206">
        <f>H54-I54</f>
        <v>0</v>
      </c>
      <c r="L54" s="3"/>
      <c r="M54" s="3"/>
    </row>
    <row r="55" spans="1:13" ht="13.5" outlineLevel="2" thickBot="1">
      <c r="E55" s="204" t="s">
        <v>621</v>
      </c>
      <c r="F55" s="41" t="s">
        <v>613</v>
      </c>
      <c r="G55" s="205"/>
      <c r="H55" s="206"/>
      <c r="I55" s="206">
        <f>H55</f>
        <v>0</v>
      </c>
      <c r="J55" s="206">
        <f>H55-I55</f>
        <v>0</v>
      </c>
      <c r="L55" s="3"/>
      <c r="M55" s="3"/>
    </row>
    <row r="56" spans="1:13" ht="13.5" outlineLevel="2" thickBot="1">
      <c r="E56" s="204" t="s">
        <v>1048</v>
      </c>
      <c r="F56" s="41"/>
      <c r="G56" s="205"/>
      <c r="H56" s="206">
        <v>3000</v>
      </c>
      <c r="I56" s="206"/>
      <c r="J56" s="206"/>
      <c r="L56" s="3"/>
      <c r="M56" s="3"/>
    </row>
    <row r="57" spans="1:13" ht="13.5" outlineLevel="2" thickBot="1">
      <c r="A57" s="3" t="str">
        <f>B57&amp;C57&amp;D57</f>
        <v>O&amp;M Mobilization BudgetOperating ExpensesOutside Services</v>
      </c>
      <c r="B57" s="3" t="s">
        <v>993</v>
      </c>
      <c r="C57" s="3" t="s">
        <v>994</v>
      </c>
      <c r="D57" s="3" t="s">
        <v>788</v>
      </c>
      <c r="E57" s="204" t="s">
        <v>1049</v>
      </c>
      <c r="F57" s="41"/>
      <c r="G57" s="205"/>
      <c r="H57" s="206"/>
      <c r="I57" s="206">
        <f>H57</f>
        <v>0</v>
      </c>
      <c r="J57" s="206">
        <f>H57-I57</f>
        <v>0</v>
      </c>
      <c r="L57" s="3"/>
      <c r="M57" s="3"/>
    </row>
    <row r="58" spans="1:13" ht="13.5" outlineLevel="2" thickBot="1">
      <c r="E58" s="204" t="s">
        <v>1050</v>
      </c>
      <c r="F58" s="41" t="s">
        <v>1051</v>
      </c>
      <c r="G58" s="205"/>
      <c r="H58" s="206">
        <f>20*160</f>
        <v>3200</v>
      </c>
      <c r="I58" s="206"/>
      <c r="J58" s="206"/>
      <c r="L58" s="3"/>
      <c r="M58" s="3"/>
    </row>
    <row r="59" spans="1:13" s="203" customFormat="1" ht="13.5" outlineLevel="1" thickBot="1">
      <c r="A59" s="203" t="s">
        <v>1052</v>
      </c>
      <c r="B59" s="203" t="s">
        <v>993</v>
      </c>
      <c r="C59" s="203" t="s">
        <v>994</v>
      </c>
      <c r="D59" s="203" t="s">
        <v>788</v>
      </c>
      <c r="E59" s="204"/>
      <c r="F59" s="41"/>
      <c r="G59" s="207" t="s">
        <v>1005</v>
      </c>
      <c r="H59" s="208">
        <f>SUBTOTAL(9,H43:H58)</f>
        <v>9400</v>
      </c>
      <c r="I59" s="208">
        <f>SUBTOTAL(9,I43:I58)</f>
        <v>3200</v>
      </c>
      <c r="J59" s="208">
        <f>SUBTOTAL(9,J43:J58)</f>
        <v>0</v>
      </c>
    </row>
    <row r="60" spans="1:13" s="203" customFormat="1" ht="13.5" outlineLevel="1" thickBot="1">
      <c r="A60" s="3" t="s">
        <v>1053</v>
      </c>
      <c r="B60" s="3" t="s">
        <v>993</v>
      </c>
      <c r="C60" s="3" t="s">
        <v>994</v>
      </c>
      <c r="D60" s="3" t="s">
        <v>789</v>
      </c>
      <c r="E60" s="209" t="s">
        <v>789</v>
      </c>
      <c r="F60" s="210"/>
      <c r="G60" s="211"/>
      <c r="H60" s="201"/>
      <c r="I60" s="201"/>
      <c r="J60" s="201"/>
    </row>
    <row r="61" spans="1:13" ht="13.5" outlineLevel="2" thickBot="1">
      <c r="E61" s="216" t="s">
        <v>1054</v>
      </c>
      <c r="F61" s="217" t="s">
        <v>1055</v>
      </c>
      <c r="G61" s="205"/>
      <c r="H61" s="206">
        <v>600</v>
      </c>
      <c r="I61" s="206">
        <f>H61-J61</f>
        <v>600</v>
      </c>
      <c r="J61" s="206"/>
      <c r="L61" s="3"/>
      <c r="M61" s="3"/>
    </row>
    <row r="62" spans="1:13" ht="13.5" outlineLevel="2" thickBot="1">
      <c r="A62" s="3" t="str">
        <f>B62&amp;C62&amp;D62</f>
        <v>O&amp;M Mobilization BudgetOperating ExpensesOther Supplies &amp; Expenses</v>
      </c>
      <c r="B62" s="3" t="s">
        <v>993</v>
      </c>
      <c r="C62" s="3" t="s">
        <v>994</v>
      </c>
      <c r="D62" s="3" t="s">
        <v>789</v>
      </c>
      <c r="E62" s="216" t="s">
        <v>1056</v>
      </c>
      <c r="F62" s="217" t="s">
        <v>1057</v>
      </c>
      <c r="G62" s="205"/>
      <c r="H62" s="206">
        <v>2500</v>
      </c>
      <c r="I62" s="206">
        <f>H62-J62</f>
        <v>2500</v>
      </c>
      <c r="J62" s="206"/>
      <c r="L62" s="3"/>
      <c r="M62" s="3"/>
    </row>
    <row r="63" spans="1:13" ht="13.5" outlineLevel="2" thickBot="1">
      <c r="A63" s="3" t="str">
        <f>B63&amp;C63&amp;D63</f>
        <v>O&amp;M Mobilization BudgetOperating ExpensesOther Supplies &amp; Expenses</v>
      </c>
      <c r="B63" s="3" t="s">
        <v>993</v>
      </c>
      <c r="C63" s="3" t="s">
        <v>994</v>
      </c>
      <c r="D63" s="3" t="s">
        <v>789</v>
      </c>
      <c r="E63" s="216" t="s">
        <v>1058</v>
      </c>
      <c r="F63" s="217" t="s">
        <v>1059</v>
      </c>
      <c r="G63" s="205"/>
      <c r="H63" s="206">
        <f>1*5*1000*1.5/14+500</f>
        <v>1035.7142857142858</v>
      </c>
      <c r="I63" s="206">
        <f>H63-J63</f>
        <v>1035.7142857142858</v>
      </c>
      <c r="J63" s="206"/>
      <c r="L63" s="3"/>
      <c r="M63" s="3"/>
    </row>
    <row r="64" spans="1:13" ht="13.5" outlineLevel="2" thickBot="1">
      <c r="A64" s="3" t="str">
        <f>B64&amp;C64&amp;D64</f>
        <v>O&amp;M Mobilization BudgetOperating ExpensesOther Supplies &amp; Expenses</v>
      </c>
      <c r="B64" s="3" t="s">
        <v>993</v>
      </c>
      <c r="C64" s="3" t="s">
        <v>994</v>
      </c>
      <c r="D64" s="3" t="s">
        <v>789</v>
      </c>
      <c r="E64" s="216" t="s">
        <v>1060</v>
      </c>
      <c r="F64" s="217"/>
      <c r="G64" s="205"/>
      <c r="H64" s="206">
        <v>2000</v>
      </c>
      <c r="I64" s="206">
        <f>H64-J64</f>
        <v>2000</v>
      </c>
      <c r="J64" s="206"/>
      <c r="L64" s="3"/>
      <c r="M64" s="3"/>
    </row>
    <row r="65" spans="1:13" ht="13.5" outlineLevel="2" thickBot="1">
      <c r="A65" s="3" t="str">
        <f>B65&amp;C65&amp;D65</f>
        <v>O&amp;M Mobilization BudgetOperating ExpensesOther Supplies &amp; Expenses</v>
      </c>
      <c r="B65" s="3" t="s">
        <v>993</v>
      </c>
      <c r="C65" s="3" t="s">
        <v>994</v>
      </c>
      <c r="D65" s="3" t="s">
        <v>789</v>
      </c>
      <c r="E65" s="216" t="s">
        <v>1061</v>
      </c>
      <c r="F65" s="217" t="s">
        <v>1062</v>
      </c>
      <c r="G65" s="205"/>
      <c r="H65" s="206">
        <v>2500</v>
      </c>
      <c r="I65" s="206">
        <f>H65-J65</f>
        <v>2500</v>
      </c>
      <c r="J65" s="206"/>
      <c r="L65" s="3"/>
      <c r="M65" s="3"/>
    </row>
    <row r="66" spans="1:13" ht="13.5" outlineLevel="2" thickBot="1">
      <c r="E66" s="204"/>
      <c r="F66" s="41"/>
      <c r="G66" s="205"/>
      <c r="H66" s="206"/>
      <c r="I66" s="206"/>
      <c r="J66" s="206"/>
      <c r="L66" s="3"/>
      <c r="M66" s="3"/>
    </row>
    <row r="67" spans="1:13" s="203" customFormat="1" ht="13.5" outlineLevel="1" thickBot="1">
      <c r="A67" s="203" t="s">
        <v>1063</v>
      </c>
      <c r="B67" s="203" t="s">
        <v>993</v>
      </c>
      <c r="C67" s="203" t="s">
        <v>994</v>
      </c>
      <c r="D67" s="203" t="s">
        <v>789</v>
      </c>
      <c r="E67" s="204"/>
      <c r="F67" s="41"/>
      <c r="G67" s="207" t="s">
        <v>1005</v>
      </c>
      <c r="H67" s="208">
        <f>SUBTOTAL(9,H61:H66)</f>
        <v>8635.7142857142862</v>
      </c>
      <c r="I67" s="208">
        <f>SUBTOTAL(9,I61:I66)</f>
        <v>8635.7142857142862</v>
      </c>
      <c r="J67" s="208">
        <f>SUBTOTAL(9,J61:J66)</f>
        <v>0</v>
      </c>
    </row>
    <row r="68" spans="1:13" s="203" customFormat="1" ht="13.5" outlineLevel="1" thickBot="1">
      <c r="A68" s="3" t="s">
        <v>1064</v>
      </c>
      <c r="B68" s="3" t="s">
        <v>993</v>
      </c>
      <c r="C68" s="3" t="s">
        <v>994</v>
      </c>
      <c r="D68" s="3" t="s">
        <v>790</v>
      </c>
      <c r="E68" s="209" t="s">
        <v>790</v>
      </c>
      <c r="F68" s="210"/>
      <c r="G68" s="211"/>
      <c r="H68" s="201"/>
      <c r="I68" s="201"/>
      <c r="J68" s="201"/>
    </row>
    <row r="69" spans="1:13" ht="13.5" outlineLevel="2" thickBot="1">
      <c r="A69" s="3" t="str">
        <f>B69&amp;C69&amp;D69</f>
        <v>O&amp;M Mobilization BudgetOperating ExpensesCommunications</v>
      </c>
      <c r="B69" s="3" t="s">
        <v>993</v>
      </c>
      <c r="C69" s="3" t="s">
        <v>994</v>
      </c>
      <c r="D69" s="3" t="s">
        <v>790</v>
      </c>
      <c r="E69" s="204" t="s">
        <v>1065</v>
      </c>
      <c r="F69" s="41" t="s">
        <v>1066</v>
      </c>
      <c r="G69" s="205"/>
      <c r="H69" s="206">
        <f>5*500</f>
        <v>2500</v>
      </c>
      <c r="I69" s="206">
        <f>H69-J69</f>
        <v>2500</v>
      </c>
      <c r="J69" s="206"/>
      <c r="L69" s="3"/>
      <c r="M69" s="3"/>
    </row>
    <row r="70" spans="1:13" ht="13.5" outlineLevel="2" thickBot="1">
      <c r="A70" s="3" t="str">
        <f>B70&amp;C70&amp;D70</f>
        <v>O&amp;M Mobilization BudgetOperating ExpensesCommunications</v>
      </c>
      <c r="B70" s="3" t="s">
        <v>993</v>
      </c>
      <c r="C70" s="3" t="s">
        <v>994</v>
      </c>
      <c r="D70" s="3" t="s">
        <v>790</v>
      </c>
      <c r="E70" s="204" t="s">
        <v>1067</v>
      </c>
      <c r="F70" s="41" t="s">
        <v>1068</v>
      </c>
      <c r="G70" s="205"/>
      <c r="H70" s="206">
        <f>2*6*300</f>
        <v>3600</v>
      </c>
      <c r="I70" s="206">
        <f>H70-J70</f>
        <v>3600</v>
      </c>
      <c r="J70" s="206"/>
      <c r="L70" s="3"/>
      <c r="M70" s="3"/>
    </row>
    <row r="71" spans="1:13" ht="13.5" outlineLevel="2" thickBot="1">
      <c r="A71" s="3" t="str">
        <f>B71&amp;C71&amp;D71</f>
        <v>O&amp;M Mobilization BudgetOperating ExpensesCommunications</v>
      </c>
      <c r="B71" s="3" t="s">
        <v>993</v>
      </c>
      <c r="C71" s="3" t="s">
        <v>994</v>
      </c>
      <c r="D71" s="3" t="s">
        <v>790</v>
      </c>
      <c r="E71" s="204"/>
      <c r="F71" s="41" t="s">
        <v>1069</v>
      </c>
      <c r="G71" s="205"/>
      <c r="H71" s="206">
        <f>2*100</f>
        <v>200</v>
      </c>
      <c r="I71" s="206">
        <f>H71-J71</f>
        <v>200</v>
      </c>
      <c r="J71" s="206"/>
      <c r="L71" s="3"/>
      <c r="M71" s="3"/>
    </row>
    <row r="72" spans="1:13" ht="13.5" outlineLevel="2" thickBot="1">
      <c r="E72" s="204"/>
      <c r="F72" s="41"/>
      <c r="G72" s="205"/>
      <c r="H72" s="206"/>
      <c r="I72" s="206"/>
      <c r="J72" s="206"/>
      <c r="L72" s="3"/>
      <c r="M72" s="3"/>
    </row>
    <row r="73" spans="1:13" s="203" customFormat="1" ht="13.5" outlineLevel="1" thickBot="1">
      <c r="A73" s="203" t="s">
        <v>1070</v>
      </c>
      <c r="B73" s="203" t="s">
        <v>993</v>
      </c>
      <c r="C73" s="203" t="s">
        <v>994</v>
      </c>
      <c r="D73" s="203" t="s">
        <v>790</v>
      </c>
      <c r="E73" s="204"/>
      <c r="F73" s="41"/>
      <c r="G73" s="207" t="s">
        <v>1005</v>
      </c>
      <c r="H73" s="208">
        <f>SUBTOTAL(9,H69:H71)</f>
        <v>6300</v>
      </c>
      <c r="I73" s="208">
        <f>SUBTOTAL(9,I69:I71)</f>
        <v>6300</v>
      </c>
      <c r="J73" s="208">
        <f>SUBTOTAL(9,J69:J71)</f>
        <v>0</v>
      </c>
    </row>
    <row r="74" spans="1:13" s="203" customFormat="1" ht="13.5" outlineLevel="1" thickBot="1">
      <c r="A74" s="3" t="s">
        <v>1071</v>
      </c>
      <c r="B74" s="3" t="s">
        <v>993</v>
      </c>
      <c r="C74" s="3" t="s">
        <v>994</v>
      </c>
      <c r="D74" s="3" t="s">
        <v>1072</v>
      </c>
      <c r="E74" s="209" t="s">
        <v>791</v>
      </c>
      <c r="F74" s="210"/>
      <c r="G74" s="211"/>
      <c r="H74" s="201"/>
      <c r="I74" s="201"/>
      <c r="J74" s="201"/>
    </row>
    <row r="75" spans="1:13" ht="13.5" outlineLevel="2" thickBot="1">
      <c r="A75" s="3" t="str">
        <f>B75&amp;C75&amp;D75</f>
        <v>O&amp;M Mobilization BudgetOperating ExpensesMiscellaneous Office Expenses</v>
      </c>
      <c r="B75" s="3" t="s">
        <v>993</v>
      </c>
      <c r="C75" s="3" t="s">
        <v>994</v>
      </c>
      <c r="D75" s="3" t="s">
        <v>1072</v>
      </c>
      <c r="E75" s="204" t="s">
        <v>1073</v>
      </c>
      <c r="F75" s="41" t="s">
        <v>614</v>
      </c>
      <c r="G75" s="205"/>
      <c r="H75" s="206"/>
      <c r="I75" s="206">
        <f>H75-J75</f>
        <v>0</v>
      </c>
      <c r="J75" s="206"/>
      <c r="L75" s="3"/>
      <c r="M75" s="3"/>
    </row>
    <row r="76" spans="1:13" ht="13.5" outlineLevel="2" thickBot="1">
      <c r="A76" s="3" t="str">
        <f>B76&amp;C76&amp;D76</f>
        <v>O&amp;M Mobilization BudgetOperating ExpensesMiscellaneous Office Expenses</v>
      </c>
      <c r="B76" s="3" t="s">
        <v>993</v>
      </c>
      <c r="C76" s="3" t="s">
        <v>994</v>
      </c>
      <c r="D76" s="3" t="s">
        <v>1072</v>
      </c>
      <c r="E76" s="204" t="s">
        <v>1074</v>
      </c>
      <c r="F76" s="41"/>
      <c r="G76" s="205"/>
      <c r="H76" s="206"/>
      <c r="I76" s="206">
        <f>H76-J76</f>
        <v>0</v>
      </c>
      <c r="J76" s="206"/>
      <c r="L76" s="3"/>
      <c r="M76" s="3"/>
    </row>
    <row r="77" spans="1:13" ht="13.5" outlineLevel="2" thickBot="1">
      <c r="A77" s="3" t="str">
        <f>B77&amp;C77&amp;D77</f>
        <v>O&amp;M Mobilization BudgetOperating ExpensesMiscellaneous Office Expenses</v>
      </c>
      <c r="B77" s="3" t="s">
        <v>993</v>
      </c>
      <c r="C77" s="3" t="s">
        <v>994</v>
      </c>
      <c r="D77" s="3" t="s">
        <v>1072</v>
      </c>
      <c r="E77" s="204" t="s">
        <v>1075</v>
      </c>
      <c r="F77" s="41"/>
      <c r="G77" s="205"/>
      <c r="H77" s="206"/>
      <c r="I77" s="206">
        <f>H77-J77</f>
        <v>0</v>
      </c>
      <c r="J77" s="206"/>
      <c r="L77" s="3"/>
      <c r="M77" s="3"/>
    </row>
    <row r="78" spans="1:13" ht="13.5" outlineLevel="2" thickBot="1">
      <c r="A78" s="3" t="str">
        <f>B78&amp;C78&amp;D78</f>
        <v>O&amp;M Mobilization BudgetOperating ExpensesMiscellaneous Office Expenses</v>
      </c>
      <c r="B78" s="3" t="s">
        <v>993</v>
      </c>
      <c r="C78" s="3" t="s">
        <v>994</v>
      </c>
      <c r="D78" s="3" t="s">
        <v>1072</v>
      </c>
      <c r="E78" s="204" t="s">
        <v>1076</v>
      </c>
      <c r="G78" s="205"/>
      <c r="H78" s="206"/>
      <c r="I78" s="206">
        <f>H78-J78</f>
        <v>0</v>
      </c>
      <c r="J78" s="206"/>
      <c r="L78" s="3"/>
      <c r="M78" s="3"/>
    </row>
    <row r="79" spans="1:13" ht="13.5" outlineLevel="2" thickBot="1">
      <c r="E79" s="204" t="s">
        <v>1077</v>
      </c>
      <c r="G79" s="205"/>
      <c r="H79" s="206"/>
      <c r="I79" s="206">
        <f>H79-J79</f>
        <v>0</v>
      </c>
      <c r="J79" s="206"/>
      <c r="L79" s="3"/>
      <c r="M79" s="3"/>
    </row>
    <row r="80" spans="1:13" ht="13.5" outlineLevel="2" thickBot="1">
      <c r="E80" s="204"/>
      <c r="F80" s="41" t="s">
        <v>1078</v>
      </c>
      <c r="G80" s="205"/>
      <c r="H80" s="206"/>
      <c r="I80" s="206"/>
      <c r="J80" s="206"/>
      <c r="L80" s="3"/>
      <c r="M80" s="3"/>
    </row>
    <row r="81" spans="1:13" s="203" customFormat="1" ht="13.5" outlineLevel="1" thickBot="1">
      <c r="A81" s="203" t="s">
        <v>1079</v>
      </c>
      <c r="B81" s="203" t="s">
        <v>993</v>
      </c>
      <c r="C81" s="203" t="s">
        <v>994</v>
      </c>
      <c r="D81" s="203" t="s">
        <v>1072</v>
      </c>
      <c r="E81" s="204"/>
      <c r="F81" s="41"/>
      <c r="G81" s="207" t="s">
        <v>1005</v>
      </c>
      <c r="H81" s="208">
        <f>SUBTOTAL(9,H75:H79)</f>
        <v>0</v>
      </c>
      <c r="I81" s="208">
        <f>SUBTOTAL(9,I75:I79)</f>
        <v>0</v>
      </c>
      <c r="J81" s="208">
        <f>SUBTOTAL(9,J75:J79)</f>
        <v>0</v>
      </c>
    </row>
    <row r="82" spans="1:13" s="203" customFormat="1" ht="13.5" outlineLevel="1" thickBot="1">
      <c r="A82" s="3" t="s">
        <v>1080</v>
      </c>
      <c r="B82" s="3" t="s">
        <v>993</v>
      </c>
      <c r="C82" s="3" t="s">
        <v>994</v>
      </c>
      <c r="D82" s="3" t="s">
        <v>792</v>
      </c>
      <c r="E82" s="209" t="s">
        <v>792</v>
      </c>
      <c r="F82" s="210"/>
      <c r="G82" s="211"/>
      <c r="H82" s="201"/>
      <c r="I82" s="201"/>
      <c r="J82" s="201"/>
    </row>
    <row r="83" spans="1:13" ht="13.5" outlineLevel="2" thickBot="1">
      <c r="A83" s="3" t="str">
        <f t="shared" ref="A83:A96" si="4">B83&amp;C83&amp;D83</f>
        <v>O&amp;M Mobilization BudgetOperating ExpensesTraining</v>
      </c>
      <c r="B83" s="3" t="s">
        <v>993</v>
      </c>
      <c r="C83" s="3" t="s">
        <v>994</v>
      </c>
      <c r="D83" s="3" t="s">
        <v>792</v>
      </c>
      <c r="E83" s="204" t="s">
        <v>1081</v>
      </c>
      <c r="F83" s="41" t="s">
        <v>1082</v>
      </c>
      <c r="G83" s="205"/>
      <c r="H83" s="206">
        <f>Training!I53*1000</f>
        <v>72202</v>
      </c>
      <c r="I83" s="206">
        <f t="shared" ref="I83:I97" si="5">H83</f>
        <v>72202</v>
      </c>
      <c r="J83" s="206">
        <f t="shared" ref="J83:J97" si="6">H83-I83</f>
        <v>0</v>
      </c>
      <c r="L83" s="3"/>
      <c r="M83" s="3"/>
    </row>
    <row r="84" spans="1:13" ht="13.5" outlineLevel="2" thickBot="1">
      <c r="A84" s="3" t="str">
        <f t="shared" si="4"/>
        <v>O&amp;M Mobilization BudgetOperating ExpensesTraining</v>
      </c>
      <c r="B84" s="3" t="s">
        <v>993</v>
      </c>
      <c r="C84" s="3" t="s">
        <v>994</v>
      </c>
      <c r="D84" s="3" t="s">
        <v>792</v>
      </c>
      <c r="E84" s="204" t="s">
        <v>1083</v>
      </c>
      <c r="F84" s="41"/>
      <c r="G84" s="205"/>
      <c r="H84" s="206"/>
      <c r="I84" s="206">
        <f t="shared" si="5"/>
        <v>0</v>
      </c>
      <c r="J84" s="206">
        <f t="shared" si="6"/>
        <v>0</v>
      </c>
      <c r="L84" s="3"/>
      <c r="M84" s="3"/>
    </row>
    <row r="85" spans="1:13" ht="13.5" outlineLevel="2" thickBot="1">
      <c r="A85" s="3" t="str">
        <f t="shared" si="4"/>
        <v>O&amp;M Mobilization BudgetOperating ExpensesTraining</v>
      </c>
      <c r="B85" s="3" t="s">
        <v>993</v>
      </c>
      <c r="C85" s="3" t="s">
        <v>994</v>
      </c>
      <c r="D85" s="3" t="s">
        <v>792</v>
      </c>
      <c r="E85" s="204" t="s">
        <v>1084</v>
      </c>
      <c r="F85" s="41"/>
      <c r="G85" s="205"/>
      <c r="H85" s="206"/>
      <c r="I85" s="206">
        <f t="shared" si="5"/>
        <v>0</v>
      </c>
      <c r="J85" s="206">
        <f t="shared" si="6"/>
        <v>0</v>
      </c>
      <c r="L85" s="3"/>
      <c r="M85" s="3"/>
    </row>
    <row r="86" spans="1:13" ht="13.5" outlineLevel="2" thickBot="1">
      <c r="A86" s="3" t="str">
        <f t="shared" si="4"/>
        <v>O&amp;M Mobilization BudgetOperating ExpensesTraining</v>
      </c>
      <c r="B86" s="3" t="s">
        <v>993</v>
      </c>
      <c r="C86" s="3" t="s">
        <v>994</v>
      </c>
      <c r="D86" s="3" t="s">
        <v>792</v>
      </c>
      <c r="E86" s="204" t="s">
        <v>1085</v>
      </c>
      <c r="F86" s="41"/>
      <c r="G86" s="205"/>
      <c r="H86" s="206"/>
      <c r="I86" s="206">
        <f t="shared" si="5"/>
        <v>0</v>
      </c>
      <c r="J86" s="206">
        <f t="shared" si="6"/>
        <v>0</v>
      </c>
      <c r="L86" s="3"/>
      <c r="M86" s="3"/>
    </row>
    <row r="87" spans="1:13" ht="13.5" outlineLevel="2" thickBot="1">
      <c r="A87" s="3" t="str">
        <f t="shared" si="4"/>
        <v>O&amp;M Mobilization BudgetOperating ExpensesTraining</v>
      </c>
      <c r="B87" s="3" t="s">
        <v>993</v>
      </c>
      <c r="C87" s="3" t="s">
        <v>994</v>
      </c>
      <c r="D87" s="3" t="s">
        <v>792</v>
      </c>
      <c r="E87" s="204" t="s">
        <v>1086</v>
      </c>
      <c r="F87" s="41"/>
      <c r="G87" s="205"/>
      <c r="H87" s="206"/>
      <c r="I87" s="206">
        <f t="shared" si="5"/>
        <v>0</v>
      </c>
      <c r="J87" s="206">
        <f t="shared" si="6"/>
        <v>0</v>
      </c>
      <c r="L87" s="3"/>
      <c r="M87" s="3"/>
    </row>
    <row r="88" spans="1:13" ht="13.5" outlineLevel="2" thickBot="1">
      <c r="A88" s="3" t="str">
        <f t="shared" si="4"/>
        <v>O&amp;M Mobilization BudgetOperating ExpensesTraining</v>
      </c>
      <c r="B88" s="3" t="s">
        <v>993</v>
      </c>
      <c r="C88" s="3" t="s">
        <v>994</v>
      </c>
      <c r="D88" s="3" t="s">
        <v>792</v>
      </c>
      <c r="E88" s="204" t="s">
        <v>1087</v>
      </c>
      <c r="F88" s="41"/>
      <c r="G88" s="205"/>
      <c r="H88" s="206"/>
      <c r="I88" s="206">
        <f t="shared" si="5"/>
        <v>0</v>
      </c>
      <c r="J88" s="206">
        <f t="shared" si="6"/>
        <v>0</v>
      </c>
      <c r="L88" s="3"/>
      <c r="M88" s="3"/>
    </row>
    <row r="89" spans="1:13" ht="13.5" outlineLevel="2" thickBot="1">
      <c r="A89" s="3" t="str">
        <f t="shared" si="4"/>
        <v>O&amp;M Mobilization BudgetOperating ExpensesTraining</v>
      </c>
      <c r="B89" s="3" t="s">
        <v>993</v>
      </c>
      <c r="C89" s="3" t="s">
        <v>994</v>
      </c>
      <c r="D89" s="3" t="s">
        <v>792</v>
      </c>
      <c r="E89" s="204" t="s">
        <v>1088</v>
      </c>
      <c r="F89" s="41"/>
      <c r="G89" s="205"/>
      <c r="H89" s="206"/>
      <c r="I89" s="206">
        <f t="shared" si="5"/>
        <v>0</v>
      </c>
      <c r="J89" s="206">
        <f t="shared" si="6"/>
        <v>0</v>
      </c>
      <c r="L89" s="3"/>
      <c r="M89" s="3"/>
    </row>
    <row r="90" spans="1:13" ht="13.5" outlineLevel="2" thickBot="1">
      <c r="A90" s="3" t="str">
        <f t="shared" si="4"/>
        <v>O&amp;M Mobilization BudgetOperating ExpensesTraining</v>
      </c>
      <c r="B90" s="3" t="s">
        <v>993</v>
      </c>
      <c r="C90" s="3" t="s">
        <v>994</v>
      </c>
      <c r="D90" s="3" t="s">
        <v>792</v>
      </c>
      <c r="E90" s="204" t="s">
        <v>1089</v>
      </c>
      <c r="F90" s="41"/>
      <c r="G90" s="205"/>
      <c r="H90" s="206"/>
      <c r="I90" s="206">
        <f t="shared" si="5"/>
        <v>0</v>
      </c>
      <c r="J90" s="206">
        <f t="shared" si="6"/>
        <v>0</v>
      </c>
      <c r="L90" s="3"/>
      <c r="M90" s="3"/>
    </row>
    <row r="91" spans="1:13" ht="13.5" outlineLevel="2" thickBot="1">
      <c r="A91" s="3" t="str">
        <f t="shared" si="4"/>
        <v>O&amp;M Mobilization BudgetOperating ExpensesTraining</v>
      </c>
      <c r="B91" s="3" t="s">
        <v>993</v>
      </c>
      <c r="C91" s="3" t="s">
        <v>994</v>
      </c>
      <c r="D91" s="3" t="s">
        <v>792</v>
      </c>
      <c r="E91" s="204" t="s">
        <v>1090</v>
      </c>
      <c r="F91" s="41"/>
      <c r="G91" s="205"/>
      <c r="H91" s="206"/>
      <c r="I91" s="206">
        <f t="shared" si="5"/>
        <v>0</v>
      </c>
      <c r="J91" s="206">
        <f t="shared" si="6"/>
        <v>0</v>
      </c>
      <c r="L91" s="3"/>
      <c r="M91" s="3"/>
    </row>
    <row r="92" spans="1:13" ht="13.5" outlineLevel="2" thickBot="1">
      <c r="A92" s="3" t="str">
        <f t="shared" si="4"/>
        <v>O&amp;M Mobilization BudgetOperating ExpensesTraining</v>
      </c>
      <c r="B92" s="3" t="s">
        <v>993</v>
      </c>
      <c r="C92" s="3" t="s">
        <v>994</v>
      </c>
      <c r="D92" s="3" t="s">
        <v>792</v>
      </c>
      <c r="E92" s="204" t="s">
        <v>1091</v>
      </c>
      <c r="F92" s="41"/>
      <c r="G92" s="205"/>
      <c r="H92" s="206"/>
      <c r="I92" s="206">
        <f t="shared" si="5"/>
        <v>0</v>
      </c>
      <c r="J92" s="206">
        <f t="shared" si="6"/>
        <v>0</v>
      </c>
      <c r="L92" s="3"/>
      <c r="M92" s="3"/>
    </row>
    <row r="93" spans="1:13" ht="13.5" outlineLevel="2" thickBot="1">
      <c r="A93" s="3" t="str">
        <f t="shared" si="4"/>
        <v>O&amp;M Mobilization BudgetOperating ExpensesTraining</v>
      </c>
      <c r="B93" s="3" t="s">
        <v>993</v>
      </c>
      <c r="C93" s="3" t="s">
        <v>994</v>
      </c>
      <c r="D93" s="3" t="s">
        <v>792</v>
      </c>
      <c r="E93" s="204" t="s">
        <v>1092</v>
      </c>
      <c r="F93" s="41"/>
      <c r="G93" s="205"/>
      <c r="H93" s="206"/>
      <c r="I93" s="206">
        <f t="shared" si="5"/>
        <v>0</v>
      </c>
      <c r="J93" s="206">
        <f t="shared" si="6"/>
        <v>0</v>
      </c>
      <c r="L93" s="3"/>
      <c r="M93" s="3"/>
    </row>
    <row r="94" spans="1:13" ht="13.5" outlineLevel="2" thickBot="1">
      <c r="A94" s="3" t="str">
        <f t="shared" si="4"/>
        <v>O&amp;M Mobilization BudgetOperating ExpensesTraining</v>
      </c>
      <c r="B94" s="3" t="s">
        <v>993</v>
      </c>
      <c r="C94" s="3" t="s">
        <v>994</v>
      </c>
      <c r="D94" s="3" t="s">
        <v>792</v>
      </c>
      <c r="E94" s="204" t="s">
        <v>1093</v>
      </c>
      <c r="F94" s="41"/>
      <c r="G94" s="205"/>
      <c r="H94" s="206"/>
      <c r="I94" s="206">
        <f t="shared" si="5"/>
        <v>0</v>
      </c>
      <c r="J94" s="206">
        <f t="shared" si="6"/>
        <v>0</v>
      </c>
      <c r="L94" s="3"/>
      <c r="M94" s="3"/>
    </row>
    <row r="95" spans="1:13" ht="13.5" customHeight="1" outlineLevel="2" thickBot="1">
      <c r="A95" s="3" t="str">
        <f t="shared" si="4"/>
        <v>O&amp;M Mobilization BudgetOperating ExpensesTraining</v>
      </c>
      <c r="B95" s="3" t="s">
        <v>993</v>
      </c>
      <c r="C95" s="3" t="s">
        <v>994</v>
      </c>
      <c r="D95" s="3" t="s">
        <v>792</v>
      </c>
      <c r="E95" s="204" t="s">
        <v>1094</v>
      </c>
      <c r="F95" s="41"/>
      <c r="G95" s="205"/>
      <c r="H95" s="206"/>
      <c r="I95" s="206">
        <f t="shared" si="5"/>
        <v>0</v>
      </c>
      <c r="J95" s="206">
        <f t="shared" si="6"/>
        <v>0</v>
      </c>
      <c r="L95" s="3"/>
      <c r="M95" s="3"/>
    </row>
    <row r="96" spans="1:13" ht="13.5" outlineLevel="2" thickBot="1">
      <c r="A96" s="3" t="str">
        <f t="shared" si="4"/>
        <v>O&amp;M Mobilization BudgetOperating ExpensesTraining</v>
      </c>
      <c r="B96" s="3" t="s">
        <v>993</v>
      </c>
      <c r="C96" s="3" t="s">
        <v>994</v>
      </c>
      <c r="D96" s="3" t="s">
        <v>792</v>
      </c>
      <c r="E96" s="204" t="s">
        <v>1095</v>
      </c>
      <c r="F96" s="41"/>
      <c r="G96" s="205"/>
      <c r="H96" s="206"/>
      <c r="I96" s="206">
        <f t="shared" si="5"/>
        <v>0</v>
      </c>
      <c r="J96" s="206">
        <f t="shared" si="6"/>
        <v>0</v>
      </c>
      <c r="L96" s="3"/>
      <c r="M96" s="3"/>
    </row>
    <row r="97" spans="1:13" ht="13.5" outlineLevel="2" thickBot="1">
      <c r="E97" s="204"/>
      <c r="F97" s="41"/>
      <c r="G97" s="205"/>
      <c r="H97" s="206"/>
      <c r="I97" s="206">
        <f t="shared" si="5"/>
        <v>0</v>
      </c>
      <c r="J97" s="206">
        <f t="shared" si="6"/>
        <v>0</v>
      </c>
      <c r="L97" s="3"/>
      <c r="M97" s="3"/>
    </row>
    <row r="98" spans="1:13" s="203" customFormat="1" ht="13.5" outlineLevel="1" thickBot="1">
      <c r="A98" s="203" t="s">
        <v>1096</v>
      </c>
      <c r="B98" s="203" t="s">
        <v>993</v>
      </c>
      <c r="C98" s="203" t="s">
        <v>994</v>
      </c>
      <c r="D98" s="203" t="s">
        <v>792</v>
      </c>
      <c r="E98" s="204"/>
      <c r="F98" s="41"/>
      <c r="G98" s="207" t="s">
        <v>1005</v>
      </c>
      <c r="H98" s="208">
        <f>SUBTOTAL(9,H83:H96)</f>
        <v>72202</v>
      </c>
      <c r="I98" s="208">
        <f>SUBTOTAL(9,I83:I96)</f>
        <v>72202</v>
      </c>
      <c r="J98" s="208">
        <f>SUBTOTAL(9,J83:J96)</f>
        <v>0</v>
      </c>
    </row>
    <row r="99" spans="1:13" s="203" customFormat="1" ht="13.5" outlineLevel="1" thickBot="1">
      <c r="A99" s="3" t="s">
        <v>1097</v>
      </c>
      <c r="B99" s="3" t="s">
        <v>993</v>
      </c>
      <c r="C99" s="3" t="s">
        <v>994</v>
      </c>
      <c r="D99" s="3" t="s">
        <v>1098</v>
      </c>
      <c r="E99" s="218" t="s">
        <v>1098</v>
      </c>
      <c r="F99" s="219"/>
      <c r="G99" s="220"/>
      <c r="H99" s="201"/>
      <c r="I99" s="201"/>
      <c r="J99" s="201"/>
    </row>
    <row r="100" spans="1:13" ht="13.5" outlineLevel="2" thickBot="1">
      <c r="A100" s="3" t="str">
        <f>B100&amp;C100&amp;D100</f>
        <v>O&amp;M Mobilization BudgetOperating ExpensesManuals/Operating Procedures</v>
      </c>
      <c r="B100" s="3" t="s">
        <v>993</v>
      </c>
      <c r="C100" s="3" t="s">
        <v>994</v>
      </c>
      <c r="D100" s="3" t="s">
        <v>1098</v>
      </c>
      <c r="E100" s="204" t="s">
        <v>1099</v>
      </c>
      <c r="F100" s="41" t="s">
        <v>620</v>
      </c>
      <c r="G100" s="205"/>
      <c r="H100" s="206">
        <v>0</v>
      </c>
      <c r="I100" s="206">
        <f t="shared" ref="I100:I115" si="7">H100</f>
        <v>0</v>
      </c>
      <c r="J100" s="206">
        <f t="shared" ref="J100:J115" si="8">H100-I100</f>
        <v>0</v>
      </c>
      <c r="L100" s="3"/>
      <c r="M100" s="3"/>
    </row>
    <row r="101" spans="1:13" ht="13.5" outlineLevel="2" thickBot="1">
      <c r="A101" s="3" t="str">
        <f>B101&amp;C101&amp;D101</f>
        <v>O&amp;M Mobilization BudgetOperating ExpensesManuals/Operating Procedures</v>
      </c>
      <c r="B101" s="3" t="s">
        <v>993</v>
      </c>
      <c r="C101" s="3" t="s">
        <v>994</v>
      </c>
      <c r="D101" s="3" t="s">
        <v>1098</v>
      </c>
      <c r="E101" s="204" t="s">
        <v>1100</v>
      </c>
      <c r="F101" s="41" t="s">
        <v>1101</v>
      </c>
      <c r="G101" s="205"/>
      <c r="H101" s="206">
        <f>5*2*400</f>
        <v>4000</v>
      </c>
      <c r="I101" s="206">
        <f t="shared" si="7"/>
        <v>4000</v>
      </c>
      <c r="J101" s="206">
        <f t="shared" si="8"/>
        <v>0</v>
      </c>
      <c r="L101" s="3"/>
      <c r="M101" s="3"/>
    </row>
    <row r="102" spans="1:13" ht="13.5" outlineLevel="2" thickBot="1">
      <c r="E102" s="204" t="s">
        <v>1102</v>
      </c>
      <c r="F102" s="41" t="s">
        <v>1103</v>
      </c>
      <c r="G102" s="205"/>
      <c r="H102" s="206">
        <f>H101/2</f>
        <v>2000</v>
      </c>
      <c r="I102" s="206">
        <f t="shared" si="7"/>
        <v>2000</v>
      </c>
      <c r="J102" s="206">
        <f t="shared" si="8"/>
        <v>0</v>
      </c>
      <c r="L102" s="3"/>
      <c r="M102" s="3"/>
    </row>
    <row r="103" spans="1:13" ht="13.5" outlineLevel="2" thickBot="1">
      <c r="A103" s="3" t="str">
        <f t="shared" ref="A103:A110" si="9">B103&amp;C103&amp;D103</f>
        <v>O&amp;M Mobilization BudgetOperating ExpensesManuals/Operating Procedures</v>
      </c>
      <c r="B103" s="3" t="s">
        <v>993</v>
      </c>
      <c r="C103" s="3" t="s">
        <v>994</v>
      </c>
      <c r="D103" s="3" t="s">
        <v>1098</v>
      </c>
      <c r="E103" s="204" t="s">
        <v>1104</v>
      </c>
      <c r="F103" s="41" t="s">
        <v>620</v>
      </c>
      <c r="G103" s="205"/>
      <c r="H103" s="206">
        <v>0</v>
      </c>
      <c r="I103" s="206">
        <f t="shared" si="7"/>
        <v>0</v>
      </c>
      <c r="J103" s="206">
        <f t="shared" si="8"/>
        <v>0</v>
      </c>
      <c r="L103" s="3"/>
      <c r="M103" s="3"/>
    </row>
    <row r="104" spans="1:13" ht="13.5" outlineLevel="2" thickBot="1">
      <c r="A104" s="3" t="str">
        <f t="shared" si="9"/>
        <v>O&amp;M Mobilization BudgetOperating ExpensesManuals/Operating Procedures</v>
      </c>
      <c r="B104" s="3" t="s">
        <v>993</v>
      </c>
      <c r="C104" s="3" t="s">
        <v>994</v>
      </c>
      <c r="D104" s="3" t="s">
        <v>1098</v>
      </c>
      <c r="E104" s="204" t="s">
        <v>1105</v>
      </c>
      <c r="F104" s="41" t="s">
        <v>620</v>
      </c>
      <c r="G104" s="205"/>
      <c r="H104" s="206">
        <v>0</v>
      </c>
      <c r="I104" s="206">
        <f t="shared" si="7"/>
        <v>0</v>
      </c>
      <c r="J104" s="206">
        <f t="shared" si="8"/>
        <v>0</v>
      </c>
      <c r="L104" s="3"/>
      <c r="M104" s="3"/>
    </row>
    <row r="105" spans="1:13" ht="13.5" outlineLevel="2" thickBot="1">
      <c r="A105" s="3" t="str">
        <f t="shared" si="9"/>
        <v>O&amp;M Mobilization BudgetOperating ExpensesManuals/Operating Procedures</v>
      </c>
      <c r="B105" s="3" t="s">
        <v>993</v>
      </c>
      <c r="C105" s="3" t="s">
        <v>994</v>
      </c>
      <c r="D105" s="3" t="s">
        <v>1098</v>
      </c>
      <c r="E105" s="204" t="s">
        <v>1106</v>
      </c>
      <c r="F105" s="41" t="s">
        <v>1107</v>
      </c>
      <c r="G105" s="205"/>
      <c r="H105" s="206">
        <f>40*400</f>
        <v>16000</v>
      </c>
      <c r="I105" s="206">
        <f t="shared" si="7"/>
        <v>16000</v>
      </c>
      <c r="J105" s="206">
        <f t="shared" si="8"/>
        <v>0</v>
      </c>
      <c r="L105" s="3"/>
      <c r="M105" s="3"/>
    </row>
    <row r="106" spans="1:13" ht="13.5" outlineLevel="2" thickBot="1">
      <c r="A106" s="3" t="str">
        <f t="shared" si="9"/>
        <v>O&amp;M Mobilization BudgetOperating ExpensesManuals/Operating Procedures</v>
      </c>
      <c r="B106" s="3" t="s">
        <v>993</v>
      </c>
      <c r="C106" s="3" t="s">
        <v>994</v>
      </c>
      <c r="D106" s="3" t="s">
        <v>1098</v>
      </c>
      <c r="E106" s="204" t="s">
        <v>1108</v>
      </c>
      <c r="F106" s="41" t="s">
        <v>620</v>
      </c>
      <c r="G106" s="205"/>
      <c r="H106" s="206">
        <v>0</v>
      </c>
      <c r="I106" s="206">
        <f t="shared" si="7"/>
        <v>0</v>
      </c>
      <c r="J106" s="206">
        <f t="shared" si="8"/>
        <v>0</v>
      </c>
      <c r="L106" s="3"/>
      <c r="M106" s="3"/>
    </row>
    <row r="107" spans="1:13" ht="13.5" outlineLevel="2" thickBot="1">
      <c r="A107" s="3" t="str">
        <f t="shared" si="9"/>
        <v>O&amp;M Mobilization BudgetOperating ExpensesManuals/Operating Procedures</v>
      </c>
      <c r="B107" s="3" t="s">
        <v>993</v>
      </c>
      <c r="C107" s="3" t="s">
        <v>994</v>
      </c>
      <c r="D107" s="3" t="s">
        <v>1098</v>
      </c>
      <c r="E107" s="204" t="s">
        <v>1109</v>
      </c>
      <c r="F107" s="41" t="s">
        <v>620</v>
      </c>
      <c r="G107" s="205"/>
      <c r="H107" s="206">
        <v>0</v>
      </c>
      <c r="I107" s="206">
        <f t="shared" si="7"/>
        <v>0</v>
      </c>
      <c r="J107" s="206">
        <f t="shared" si="8"/>
        <v>0</v>
      </c>
      <c r="L107" s="3"/>
      <c r="M107" s="3"/>
    </row>
    <row r="108" spans="1:13" ht="13.5" outlineLevel="2" thickBot="1">
      <c r="A108" s="3" t="str">
        <f t="shared" si="9"/>
        <v>O&amp;M Mobilization BudgetOperating ExpensesManuals/Operating Procedures</v>
      </c>
      <c r="B108" s="3" t="s">
        <v>993</v>
      </c>
      <c r="C108" s="3" t="s">
        <v>994</v>
      </c>
      <c r="D108" s="3" t="s">
        <v>1098</v>
      </c>
      <c r="E108" s="204" t="s">
        <v>1110</v>
      </c>
      <c r="F108" s="41" t="s">
        <v>620</v>
      </c>
      <c r="G108" s="205"/>
      <c r="H108" s="206">
        <v>0</v>
      </c>
      <c r="I108" s="206">
        <f t="shared" si="7"/>
        <v>0</v>
      </c>
      <c r="J108" s="206">
        <f t="shared" si="8"/>
        <v>0</v>
      </c>
      <c r="L108" s="3"/>
      <c r="M108" s="3"/>
    </row>
    <row r="109" spans="1:13" ht="13.5" outlineLevel="2" thickBot="1">
      <c r="A109" s="3" t="str">
        <f t="shared" si="9"/>
        <v>O&amp;M Mobilization BudgetOperating ExpensesManuals/Operating Procedures</v>
      </c>
      <c r="B109" s="3" t="s">
        <v>993</v>
      </c>
      <c r="C109" s="3" t="s">
        <v>994</v>
      </c>
      <c r="D109" s="3" t="s">
        <v>1098</v>
      </c>
      <c r="E109" s="204" t="s">
        <v>1112</v>
      </c>
      <c r="F109" s="41" t="s">
        <v>620</v>
      </c>
      <c r="G109" s="205"/>
      <c r="H109" s="206">
        <v>0</v>
      </c>
      <c r="I109" s="206">
        <f t="shared" si="7"/>
        <v>0</v>
      </c>
      <c r="J109" s="206">
        <f t="shared" si="8"/>
        <v>0</v>
      </c>
      <c r="L109" s="3"/>
      <c r="M109" s="3"/>
    </row>
    <row r="110" spans="1:13" ht="13.5" outlineLevel="2" thickBot="1">
      <c r="A110" s="3" t="str">
        <f t="shared" si="9"/>
        <v>O&amp;M Mobilization BudgetOperating ExpensesManuals/Operating Procedures</v>
      </c>
      <c r="B110" s="3" t="s">
        <v>993</v>
      </c>
      <c r="C110" s="3" t="s">
        <v>994</v>
      </c>
      <c r="D110" s="3" t="s">
        <v>1098</v>
      </c>
      <c r="E110" s="204" t="s">
        <v>1113</v>
      </c>
      <c r="F110" s="41" t="s">
        <v>620</v>
      </c>
      <c r="G110" s="205"/>
      <c r="H110" s="206">
        <v>0</v>
      </c>
      <c r="I110" s="206">
        <f t="shared" si="7"/>
        <v>0</v>
      </c>
      <c r="J110" s="206">
        <f t="shared" si="8"/>
        <v>0</v>
      </c>
      <c r="L110" s="3"/>
      <c r="M110" s="3"/>
    </row>
    <row r="111" spans="1:13" ht="13.5" outlineLevel="2" thickBot="1">
      <c r="E111" s="204" t="s">
        <v>1041</v>
      </c>
      <c r="F111" s="41" t="s">
        <v>620</v>
      </c>
      <c r="G111" s="205"/>
      <c r="H111" s="206">
        <v>0</v>
      </c>
      <c r="I111" s="206">
        <f t="shared" si="7"/>
        <v>0</v>
      </c>
      <c r="J111" s="206">
        <f t="shared" si="8"/>
        <v>0</v>
      </c>
      <c r="L111" s="3"/>
      <c r="M111" s="3"/>
    </row>
    <row r="112" spans="1:13" ht="13.5" outlineLevel="2" thickBot="1">
      <c r="E112" s="204" t="s">
        <v>644</v>
      </c>
      <c r="F112" s="41" t="s">
        <v>1111</v>
      </c>
      <c r="G112" s="205"/>
      <c r="H112" s="206">
        <v>4000</v>
      </c>
      <c r="I112" s="206">
        <f t="shared" si="7"/>
        <v>4000</v>
      </c>
      <c r="J112" s="206">
        <f t="shared" si="8"/>
        <v>0</v>
      </c>
      <c r="L112" s="3"/>
      <c r="M112" s="3"/>
    </row>
    <row r="113" spans="1:13" ht="13.5" outlineLevel="2" thickBot="1">
      <c r="A113" s="3" t="str">
        <f>B113&amp;C113&amp;D113</f>
        <v>O&amp;M Mobilization BudgetOperating ExpensesManuals/Operating Procedures</v>
      </c>
      <c r="B113" s="3" t="s">
        <v>993</v>
      </c>
      <c r="C113" s="3" t="s">
        <v>994</v>
      </c>
      <c r="D113" s="3" t="s">
        <v>1098</v>
      </c>
      <c r="E113" s="204"/>
      <c r="F113" s="41"/>
      <c r="G113" s="205"/>
      <c r="H113" s="206"/>
      <c r="I113" s="206">
        <f t="shared" si="7"/>
        <v>0</v>
      </c>
      <c r="J113" s="206">
        <f t="shared" si="8"/>
        <v>0</v>
      </c>
      <c r="L113" s="3"/>
      <c r="M113" s="3"/>
    </row>
    <row r="114" spans="1:13" ht="13.5" outlineLevel="2" thickBot="1">
      <c r="A114" s="3" t="str">
        <f>B114&amp;C114&amp;D114</f>
        <v>O&amp;M Mobilization BudgetOperating ExpensesManuals/Operating Procedures</v>
      </c>
      <c r="B114" s="3" t="s">
        <v>993</v>
      </c>
      <c r="C114" s="3" t="s">
        <v>994</v>
      </c>
      <c r="D114" s="3" t="s">
        <v>1098</v>
      </c>
      <c r="E114" s="204" t="s">
        <v>1114</v>
      </c>
      <c r="F114" s="41"/>
      <c r="G114" s="205"/>
      <c r="H114" s="206">
        <v>3000</v>
      </c>
      <c r="I114" s="206">
        <f t="shared" si="7"/>
        <v>3000</v>
      </c>
      <c r="J114" s="206">
        <f t="shared" si="8"/>
        <v>0</v>
      </c>
      <c r="L114" s="3"/>
      <c r="M114" s="3"/>
    </row>
    <row r="115" spans="1:13" ht="13.5" outlineLevel="2" thickBot="1">
      <c r="E115" s="204" t="s">
        <v>1115</v>
      </c>
      <c r="F115" s="41" t="s">
        <v>1116</v>
      </c>
      <c r="G115" s="205"/>
      <c r="H115" s="206">
        <f>0.05*H114</f>
        <v>150</v>
      </c>
      <c r="I115" s="206">
        <f t="shared" si="7"/>
        <v>150</v>
      </c>
      <c r="J115" s="206">
        <f t="shared" si="8"/>
        <v>0</v>
      </c>
      <c r="L115" s="3"/>
      <c r="M115" s="3"/>
    </row>
    <row r="116" spans="1:13" ht="13.5" outlineLevel="2" thickBot="1">
      <c r="A116" s="3" t="str">
        <f>B116&amp;C116&amp;D116</f>
        <v>O&amp;M Mobilization BudgetOperating ExpensesManuals/Operating Procedures</v>
      </c>
      <c r="B116" s="3" t="s">
        <v>993</v>
      </c>
      <c r="C116" s="3" t="s">
        <v>994</v>
      </c>
      <c r="D116" s="3" t="s">
        <v>1098</v>
      </c>
      <c r="E116" s="204"/>
      <c r="F116" s="41"/>
      <c r="G116" s="205"/>
      <c r="H116" s="206"/>
      <c r="I116" s="206"/>
      <c r="J116" s="206"/>
      <c r="L116" s="3"/>
      <c r="M116" s="3"/>
    </row>
    <row r="117" spans="1:13" s="203" customFormat="1" ht="13.5" outlineLevel="1" thickBot="1">
      <c r="A117" s="203" t="s">
        <v>1117</v>
      </c>
      <c r="B117" s="203" t="s">
        <v>993</v>
      </c>
      <c r="C117" s="203" t="s">
        <v>994</v>
      </c>
      <c r="D117" s="203" t="s">
        <v>1098</v>
      </c>
      <c r="E117" s="204"/>
      <c r="F117" s="41"/>
      <c r="G117" s="207" t="s">
        <v>1005</v>
      </c>
      <c r="H117" s="208">
        <f>SUBTOTAL(9,H100:H116)</f>
        <v>29150</v>
      </c>
      <c r="I117" s="208">
        <f>SUBTOTAL(9,I100:I116)</f>
        <v>29150</v>
      </c>
      <c r="J117" s="208">
        <f>SUBTOTAL(9,J100:J116)</f>
        <v>0</v>
      </c>
    </row>
    <row r="118" spans="1:13" s="203" customFormat="1" ht="13.5" outlineLevel="1" thickBot="1">
      <c r="A118" s="3" t="s">
        <v>1118</v>
      </c>
      <c r="B118" s="3" t="s">
        <v>993</v>
      </c>
      <c r="C118" s="3" t="s">
        <v>994</v>
      </c>
      <c r="D118" s="3" t="s">
        <v>794</v>
      </c>
      <c r="E118" s="218" t="s">
        <v>794</v>
      </c>
      <c r="F118" s="219"/>
      <c r="G118" s="220"/>
      <c r="H118" s="201"/>
      <c r="I118" s="201"/>
      <c r="J118" s="201"/>
    </row>
    <row r="119" spans="1:13" ht="13.5" outlineLevel="2" thickBot="1">
      <c r="A119" s="3" t="str">
        <f>B119&amp;C119&amp;D119</f>
        <v>O&amp;M Mobilization BudgetOperating ExpensesPermits</v>
      </c>
      <c r="B119" s="3" t="s">
        <v>993</v>
      </c>
      <c r="C119" s="3" t="s">
        <v>994</v>
      </c>
      <c r="D119" s="3" t="s">
        <v>794</v>
      </c>
      <c r="E119" s="204" t="s">
        <v>1119</v>
      </c>
      <c r="F119" s="41"/>
      <c r="G119" s="205"/>
      <c r="H119" s="206">
        <v>0</v>
      </c>
      <c r="I119" s="206">
        <f>H119-J119</f>
        <v>0</v>
      </c>
      <c r="J119" s="206"/>
      <c r="L119" s="3"/>
      <c r="M119" s="3"/>
    </row>
    <row r="120" spans="1:13" s="203" customFormat="1" ht="13.5" outlineLevel="1" thickBot="1">
      <c r="A120" s="203" t="s">
        <v>1120</v>
      </c>
      <c r="B120" s="203" t="s">
        <v>993</v>
      </c>
      <c r="C120" s="203" t="s">
        <v>994</v>
      </c>
      <c r="D120" s="203" t="s">
        <v>794</v>
      </c>
      <c r="E120" s="204"/>
      <c r="F120" s="41"/>
      <c r="G120" s="207" t="s">
        <v>1005</v>
      </c>
      <c r="H120" s="208">
        <f>SUBTOTAL(9,H119:H119)</f>
        <v>0</v>
      </c>
      <c r="I120" s="208">
        <f>SUBTOTAL(9,I119:I119)</f>
        <v>0</v>
      </c>
      <c r="J120" s="208">
        <f>SUBTOTAL(9,J119:J119)</f>
        <v>0</v>
      </c>
    </row>
    <row r="121" spans="1:13" s="203" customFormat="1" ht="13.5" outlineLevel="1" thickBot="1">
      <c r="A121" s="3" t="s">
        <v>1121</v>
      </c>
      <c r="B121" s="3" t="s">
        <v>993</v>
      </c>
      <c r="C121" s="3" t="s">
        <v>994</v>
      </c>
      <c r="D121" s="3" t="s">
        <v>795</v>
      </c>
      <c r="E121" s="218" t="s">
        <v>1122</v>
      </c>
      <c r="F121" s="219"/>
      <c r="G121" s="220"/>
      <c r="H121" s="201"/>
      <c r="I121" s="201"/>
      <c r="J121" s="201"/>
    </row>
    <row r="122" spans="1:13" ht="13.5" outlineLevel="2" thickBot="1">
      <c r="A122" s="3" t="str">
        <f>B122&amp;C122&amp;D122</f>
        <v>O&amp;M Mobilization BudgetOperating ExpensesInsurance</v>
      </c>
      <c r="B122" s="3" t="s">
        <v>993</v>
      </c>
      <c r="C122" s="3" t="s">
        <v>994</v>
      </c>
      <c r="D122" s="3" t="s">
        <v>795</v>
      </c>
      <c r="E122" s="204"/>
      <c r="F122" s="41"/>
      <c r="G122" s="205"/>
      <c r="H122" s="206">
        <v>0</v>
      </c>
      <c r="I122" s="206">
        <f>H122-J122</f>
        <v>0</v>
      </c>
      <c r="J122" s="206"/>
      <c r="L122" s="3"/>
      <c r="M122" s="3"/>
    </row>
    <row r="123" spans="1:13" ht="13.5" outlineLevel="2" thickBot="1">
      <c r="A123" s="3" t="str">
        <f>B123&amp;C123&amp;D123</f>
        <v>O&amp;M Mobilization BudgetOperating ExpensesInsurance</v>
      </c>
      <c r="B123" s="3" t="s">
        <v>993</v>
      </c>
      <c r="C123" s="3" t="s">
        <v>994</v>
      </c>
      <c r="D123" s="3" t="s">
        <v>795</v>
      </c>
      <c r="E123" s="204"/>
      <c r="F123" s="41"/>
      <c r="G123" s="205"/>
      <c r="H123" s="206"/>
      <c r="I123" s="206"/>
      <c r="J123" s="206"/>
      <c r="L123" s="3"/>
      <c r="M123" s="3"/>
    </row>
    <row r="124" spans="1:13" s="203" customFormat="1" ht="13.5" outlineLevel="1" thickBot="1">
      <c r="A124" s="203" t="s">
        <v>1123</v>
      </c>
      <c r="B124" s="203" t="s">
        <v>993</v>
      </c>
      <c r="C124" s="203" t="s">
        <v>994</v>
      </c>
      <c r="D124" s="203" t="s">
        <v>795</v>
      </c>
      <c r="E124" s="204"/>
      <c r="F124" s="41"/>
      <c r="G124" s="207" t="s">
        <v>1005</v>
      </c>
      <c r="H124" s="208">
        <f>SUBTOTAL(9,H122:H123)</f>
        <v>0</v>
      </c>
      <c r="I124" s="208">
        <f>SUBTOTAL(9,I122:I123)</f>
        <v>0</v>
      </c>
      <c r="J124" s="208">
        <f>SUBTOTAL(9,J122:J123)</f>
        <v>0</v>
      </c>
    </row>
    <row r="125" spans="1:13" s="203" customFormat="1" ht="13.5" outlineLevel="1" thickBot="1">
      <c r="E125" s="218" t="s">
        <v>796</v>
      </c>
      <c r="F125" s="219"/>
      <c r="G125" s="220"/>
      <c r="H125" s="201"/>
      <c r="I125" s="201"/>
      <c r="J125" s="201"/>
    </row>
    <row r="126" spans="1:13" s="203" customFormat="1" ht="13.5" outlineLevel="1" thickBot="1">
      <c r="E126" s="221" t="s">
        <v>796</v>
      </c>
      <c r="F126" s="21" t="s">
        <v>1124</v>
      </c>
      <c r="G126" s="222"/>
      <c r="H126" s="223">
        <f>1*350*30</f>
        <v>10500</v>
      </c>
      <c r="I126" s="206">
        <f>H126</f>
        <v>10500</v>
      </c>
      <c r="J126" s="206">
        <f>H126-I126</f>
        <v>0</v>
      </c>
    </row>
    <row r="127" spans="1:13" s="203" customFormat="1" ht="13.5" outlineLevel="1" thickBot="1">
      <c r="E127" s="221" t="s">
        <v>1125</v>
      </c>
      <c r="F127" s="21" t="s">
        <v>1126</v>
      </c>
      <c r="G127" s="222"/>
      <c r="H127" s="223">
        <f>1*125*30</f>
        <v>3750</v>
      </c>
      <c r="I127" s="206">
        <f>H127</f>
        <v>3750</v>
      </c>
      <c r="J127" s="206">
        <f>H127-I127</f>
        <v>0</v>
      </c>
    </row>
    <row r="128" spans="1:13" s="203" customFormat="1" ht="13.5" outlineLevel="1" thickBot="1">
      <c r="E128" s="221" t="s">
        <v>1127</v>
      </c>
      <c r="F128" s="21" t="s">
        <v>1128</v>
      </c>
      <c r="G128" s="222"/>
      <c r="H128" s="223">
        <v>1000</v>
      </c>
      <c r="I128" s="206">
        <f>H128</f>
        <v>1000</v>
      </c>
      <c r="J128" s="206">
        <f>H128-I128</f>
        <v>0</v>
      </c>
    </row>
    <row r="129" spans="1:13" s="203" customFormat="1" ht="13.5" outlineLevel="1" thickBot="1">
      <c r="E129" s="221"/>
      <c r="F129" s="21"/>
      <c r="G129" s="222"/>
      <c r="H129" s="223"/>
      <c r="I129" s="206">
        <f>H129</f>
        <v>0</v>
      </c>
      <c r="J129" s="206">
        <f>H129-I129</f>
        <v>0</v>
      </c>
    </row>
    <row r="130" spans="1:13" s="203" customFormat="1" ht="13.5" outlineLevel="1" thickBot="1">
      <c r="E130" s="221"/>
      <c r="F130" s="21"/>
      <c r="G130" s="222"/>
      <c r="H130" s="223"/>
      <c r="I130" s="224"/>
      <c r="J130" s="224"/>
    </row>
    <row r="131" spans="1:13" s="203" customFormat="1" ht="13.5" outlineLevel="1" thickBot="1">
      <c r="E131" s="221" t="s">
        <v>1129</v>
      </c>
      <c r="F131" s="21"/>
      <c r="G131" s="225" t="s">
        <v>1005</v>
      </c>
      <c r="H131" s="226">
        <f>SUBTOTAL(9,H126:H129)</f>
        <v>15250</v>
      </c>
      <c r="I131" s="226">
        <f>SUBTOTAL(9,I126:I129)</f>
        <v>15250</v>
      </c>
      <c r="J131" s="226">
        <f>SUBTOTAL(9,J126:J129)</f>
        <v>0</v>
      </c>
    </row>
    <row r="132" spans="1:13" s="203" customFormat="1" ht="13.5" outlineLevel="1" thickBot="1">
      <c r="A132" s="3" t="s">
        <v>1130</v>
      </c>
      <c r="B132" s="3" t="s">
        <v>993</v>
      </c>
      <c r="C132" s="3" t="s">
        <v>1131</v>
      </c>
      <c r="D132" s="3" t="s">
        <v>1132</v>
      </c>
      <c r="E132" s="218" t="s">
        <v>1132</v>
      </c>
      <c r="F132" s="219"/>
      <c r="G132" s="220"/>
      <c r="H132" s="201"/>
      <c r="I132" s="201"/>
      <c r="J132" s="201"/>
    </row>
    <row r="133" spans="1:13" ht="13.5" outlineLevel="2" thickBot="1">
      <c r="A133" s="3" t="str">
        <f t="shared" ref="A133:A147" si="10">B133&amp;C133&amp;D133</f>
        <v>O&amp;M Mobilization BudgetProcurement ExpensesOffice Furnishings, Equipment, Supplies</v>
      </c>
      <c r="B133" s="3" t="s">
        <v>993</v>
      </c>
      <c r="C133" s="3" t="s">
        <v>1131</v>
      </c>
      <c r="D133" s="3" t="s">
        <v>1132</v>
      </c>
      <c r="E133" s="204" t="s">
        <v>1133</v>
      </c>
      <c r="F133" s="41" t="s">
        <v>1134</v>
      </c>
      <c r="G133" s="205"/>
      <c r="H133" s="206">
        <v>1600</v>
      </c>
      <c r="I133" s="206">
        <f t="shared" ref="I133:I165" si="11">H133</f>
        <v>1600</v>
      </c>
      <c r="J133" s="206">
        <f t="shared" ref="J133:J165" si="12">H133-I133</f>
        <v>0</v>
      </c>
      <c r="L133" s="3"/>
      <c r="M133" s="3"/>
    </row>
    <row r="134" spans="1:13" ht="13.5" outlineLevel="2" thickBot="1">
      <c r="A134" s="3" t="str">
        <f t="shared" si="10"/>
        <v>O&amp;M Mobilization BudgetProcurement ExpensesOffice Furnishings, Equipment, Supplies</v>
      </c>
      <c r="B134" s="3" t="s">
        <v>993</v>
      </c>
      <c r="C134" s="3" t="s">
        <v>1131</v>
      </c>
      <c r="D134" s="3" t="s">
        <v>1132</v>
      </c>
      <c r="E134" s="204" t="s">
        <v>1135</v>
      </c>
      <c r="F134" s="41" t="s">
        <v>1136</v>
      </c>
      <c r="G134" s="205"/>
      <c r="H134" s="206">
        <v>600</v>
      </c>
      <c r="I134" s="206">
        <f t="shared" si="11"/>
        <v>600</v>
      </c>
      <c r="J134" s="206">
        <f t="shared" si="12"/>
        <v>0</v>
      </c>
      <c r="L134" s="3"/>
      <c r="M134" s="3"/>
    </row>
    <row r="135" spans="1:13" ht="13.5" outlineLevel="2" thickBot="1">
      <c r="A135" s="3" t="str">
        <f t="shared" si="10"/>
        <v>O&amp;M Mobilization BudgetProcurement ExpensesOffice Furnishings, Equipment, Supplies</v>
      </c>
      <c r="B135" s="3" t="s">
        <v>993</v>
      </c>
      <c r="C135" s="3" t="s">
        <v>1131</v>
      </c>
      <c r="D135" s="3" t="s">
        <v>1132</v>
      </c>
      <c r="E135" s="204" t="s">
        <v>1137</v>
      </c>
      <c r="F135" s="41" t="s">
        <v>1138</v>
      </c>
      <c r="G135" s="205"/>
      <c r="H135" s="206">
        <v>750</v>
      </c>
      <c r="I135" s="206">
        <f t="shared" si="11"/>
        <v>750</v>
      </c>
      <c r="J135" s="206">
        <f t="shared" si="12"/>
        <v>0</v>
      </c>
      <c r="L135" s="3"/>
      <c r="M135" s="3"/>
    </row>
    <row r="136" spans="1:13" ht="13.5" outlineLevel="2" thickBot="1">
      <c r="A136" s="3" t="str">
        <f t="shared" si="10"/>
        <v>O&amp;M Mobilization BudgetProcurement ExpensesOffice Furnishings, Equipment, Supplies</v>
      </c>
      <c r="B136" s="3" t="s">
        <v>993</v>
      </c>
      <c r="C136" s="3" t="s">
        <v>1131</v>
      </c>
      <c r="D136" s="3" t="s">
        <v>1132</v>
      </c>
      <c r="E136" s="204" t="s">
        <v>1139</v>
      </c>
      <c r="F136" s="41" t="s">
        <v>1140</v>
      </c>
      <c r="G136" s="205"/>
      <c r="H136" s="206">
        <f>4*200</f>
        <v>800</v>
      </c>
      <c r="I136" s="206">
        <f t="shared" si="11"/>
        <v>800</v>
      </c>
      <c r="J136" s="206">
        <f t="shared" si="12"/>
        <v>0</v>
      </c>
      <c r="L136" s="3"/>
      <c r="M136" s="3"/>
    </row>
    <row r="137" spans="1:13" ht="13.5" outlineLevel="2" thickBot="1">
      <c r="A137" s="3" t="str">
        <f t="shared" si="10"/>
        <v>O&amp;M Mobilization BudgetProcurement ExpensesOffice Furnishings, Equipment, Supplies</v>
      </c>
      <c r="B137" s="3" t="s">
        <v>993</v>
      </c>
      <c r="C137" s="3" t="s">
        <v>1131</v>
      </c>
      <c r="D137" s="3" t="s">
        <v>1132</v>
      </c>
      <c r="E137" s="204" t="s">
        <v>1141</v>
      </c>
      <c r="F137" s="41" t="s">
        <v>1142</v>
      </c>
      <c r="G137" s="205"/>
      <c r="H137" s="206">
        <v>500</v>
      </c>
      <c r="I137" s="206">
        <f t="shared" si="11"/>
        <v>500</v>
      </c>
      <c r="J137" s="206">
        <f t="shared" si="12"/>
        <v>0</v>
      </c>
      <c r="L137" s="3"/>
      <c r="M137" s="3"/>
    </row>
    <row r="138" spans="1:13" ht="13.5" outlineLevel="2" thickBot="1">
      <c r="A138" s="3" t="str">
        <f t="shared" si="10"/>
        <v>O&amp;M Mobilization BudgetProcurement ExpensesOffice Furnishings, Equipment, Supplies</v>
      </c>
      <c r="B138" s="3" t="s">
        <v>993</v>
      </c>
      <c r="C138" s="3" t="s">
        <v>1131</v>
      </c>
      <c r="D138" s="3" t="s">
        <v>1132</v>
      </c>
      <c r="E138" s="204" t="s">
        <v>1143</v>
      </c>
      <c r="F138" s="41" t="s">
        <v>1144</v>
      </c>
      <c r="G138" s="205"/>
      <c r="H138" s="206">
        <v>1000</v>
      </c>
      <c r="I138" s="206">
        <f t="shared" si="11"/>
        <v>1000</v>
      </c>
      <c r="J138" s="206">
        <f t="shared" si="12"/>
        <v>0</v>
      </c>
      <c r="L138" s="3"/>
      <c r="M138" s="3"/>
    </row>
    <row r="139" spans="1:13" ht="13.5" outlineLevel="2" thickBot="1">
      <c r="A139" s="3" t="str">
        <f t="shared" si="10"/>
        <v>O&amp;M Mobilization BudgetProcurement ExpensesOffice Furnishings, Equipment, Supplies</v>
      </c>
      <c r="B139" s="3" t="s">
        <v>993</v>
      </c>
      <c r="C139" s="3" t="s">
        <v>1131</v>
      </c>
      <c r="D139" s="3" t="s">
        <v>1132</v>
      </c>
      <c r="E139" s="204" t="s">
        <v>1145</v>
      </c>
      <c r="F139" s="41" t="s">
        <v>1146</v>
      </c>
      <c r="G139" s="205"/>
      <c r="H139" s="206">
        <v>0</v>
      </c>
      <c r="I139" s="206">
        <f t="shared" si="11"/>
        <v>0</v>
      </c>
      <c r="J139" s="206">
        <f t="shared" si="12"/>
        <v>0</v>
      </c>
      <c r="L139" s="3"/>
      <c r="M139" s="3"/>
    </row>
    <row r="140" spans="1:13" ht="13.5" outlineLevel="2" thickBot="1">
      <c r="A140" s="3" t="str">
        <f t="shared" si="10"/>
        <v>O&amp;M Mobilization BudgetProcurement ExpensesOffice Furnishings, Equipment, Supplies</v>
      </c>
      <c r="B140" s="3" t="s">
        <v>993</v>
      </c>
      <c r="C140" s="3" t="s">
        <v>1131</v>
      </c>
      <c r="D140" s="3" t="s">
        <v>1132</v>
      </c>
      <c r="E140" s="204" t="s">
        <v>1147</v>
      </c>
      <c r="F140" s="41" t="s">
        <v>1148</v>
      </c>
      <c r="G140" s="205"/>
      <c r="H140" s="206">
        <v>0</v>
      </c>
      <c r="I140" s="206">
        <f t="shared" si="11"/>
        <v>0</v>
      </c>
      <c r="J140" s="206">
        <f t="shared" si="12"/>
        <v>0</v>
      </c>
      <c r="L140" s="3"/>
      <c r="M140" s="3"/>
    </row>
    <row r="141" spans="1:13" ht="13.5" outlineLevel="2" thickBot="1">
      <c r="A141" s="3" t="str">
        <f t="shared" si="10"/>
        <v>O&amp;M Mobilization BudgetProcurement ExpensesOffice Furnishings, Equipment, Supplies</v>
      </c>
      <c r="B141" s="3" t="s">
        <v>993</v>
      </c>
      <c r="C141" s="3" t="s">
        <v>1131</v>
      </c>
      <c r="D141" s="3" t="s">
        <v>1132</v>
      </c>
      <c r="E141" s="204" t="s">
        <v>1149</v>
      </c>
      <c r="F141" s="41" t="s">
        <v>1150</v>
      </c>
      <c r="G141" s="205"/>
      <c r="H141" s="206">
        <v>150</v>
      </c>
      <c r="I141" s="206">
        <f t="shared" si="11"/>
        <v>150</v>
      </c>
      <c r="J141" s="206">
        <f t="shared" si="12"/>
        <v>0</v>
      </c>
      <c r="L141" s="3"/>
      <c r="M141" s="3"/>
    </row>
    <row r="142" spans="1:13" ht="13.5" outlineLevel="2" thickBot="1">
      <c r="A142" s="3" t="str">
        <f t="shared" si="10"/>
        <v>O&amp;M Mobilization BudgetProcurement ExpensesOffice Furnishings, Equipment, Supplies</v>
      </c>
      <c r="B142" s="3" t="s">
        <v>993</v>
      </c>
      <c r="C142" s="3" t="s">
        <v>1131</v>
      </c>
      <c r="D142" s="3" t="s">
        <v>1132</v>
      </c>
      <c r="E142" s="204" t="s">
        <v>1151</v>
      </c>
      <c r="F142" s="41" t="s">
        <v>1152</v>
      </c>
      <c r="G142" s="205"/>
      <c r="H142" s="206">
        <v>150</v>
      </c>
      <c r="I142" s="206">
        <f t="shared" si="11"/>
        <v>150</v>
      </c>
      <c r="J142" s="206">
        <f t="shared" si="12"/>
        <v>0</v>
      </c>
      <c r="L142" s="3"/>
      <c r="M142" s="3"/>
    </row>
    <row r="143" spans="1:13" ht="13.5" outlineLevel="2" thickBot="1">
      <c r="A143" s="3" t="str">
        <f t="shared" si="10"/>
        <v>O&amp;M Mobilization BudgetProcurement ExpensesOffice Furnishings, Equipment, Supplies</v>
      </c>
      <c r="B143" s="3" t="s">
        <v>993</v>
      </c>
      <c r="C143" s="3" t="s">
        <v>1131</v>
      </c>
      <c r="D143" s="3" t="s">
        <v>1132</v>
      </c>
      <c r="E143" s="204" t="s">
        <v>1153</v>
      </c>
      <c r="F143" s="41" t="s">
        <v>1154</v>
      </c>
      <c r="G143" s="205"/>
      <c r="H143" s="206">
        <f>1*750</f>
        <v>750</v>
      </c>
      <c r="I143" s="206">
        <f t="shared" si="11"/>
        <v>750</v>
      </c>
      <c r="J143" s="206">
        <f t="shared" si="12"/>
        <v>0</v>
      </c>
      <c r="L143" s="3"/>
      <c r="M143" s="3"/>
    </row>
    <row r="144" spans="1:13" ht="13.5" outlineLevel="2" thickBot="1">
      <c r="A144" s="3" t="str">
        <f t="shared" si="10"/>
        <v>O&amp;M Mobilization BudgetProcurement ExpensesOffice Furnishings, Equipment, Supplies</v>
      </c>
      <c r="B144" s="3" t="s">
        <v>993</v>
      </c>
      <c r="C144" s="3" t="s">
        <v>1131</v>
      </c>
      <c r="D144" s="3" t="s">
        <v>1132</v>
      </c>
      <c r="E144" s="204" t="s">
        <v>1155</v>
      </c>
      <c r="F144" s="41"/>
      <c r="G144" s="205"/>
      <c r="H144" s="206">
        <v>500</v>
      </c>
      <c r="I144" s="206">
        <f t="shared" si="11"/>
        <v>500</v>
      </c>
      <c r="J144" s="206">
        <f t="shared" si="12"/>
        <v>0</v>
      </c>
      <c r="L144" s="3"/>
      <c r="M144" s="3"/>
    </row>
    <row r="145" spans="1:13" ht="13.5" outlineLevel="2" thickBot="1">
      <c r="A145" s="3" t="str">
        <f t="shared" si="10"/>
        <v>O&amp;M Mobilization BudgetProcurement ExpensesOffice Furnishings, Equipment, Supplies</v>
      </c>
      <c r="B145" s="3" t="s">
        <v>993</v>
      </c>
      <c r="C145" s="3" t="s">
        <v>1131</v>
      </c>
      <c r="D145" s="3" t="s">
        <v>1132</v>
      </c>
      <c r="E145" s="204" t="s">
        <v>1156</v>
      </c>
      <c r="F145" s="41" t="s">
        <v>1157</v>
      </c>
      <c r="G145" s="205"/>
      <c r="H145" s="206">
        <v>1000</v>
      </c>
      <c r="I145" s="206">
        <f t="shared" si="11"/>
        <v>1000</v>
      </c>
      <c r="J145" s="206">
        <f t="shared" si="12"/>
        <v>0</v>
      </c>
      <c r="L145" s="3"/>
      <c r="M145" s="3"/>
    </row>
    <row r="146" spans="1:13" ht="13.5" outlineLevel="2" thickBot="1">
      <c r="A146" s="3" t="str">
        <f t="shared" si="10"/>
        <v>O&amp;M Mobilization BudgetProcurement ExpensesOffice Furnishings, Equipment, Supplies</v>
      </c>
      <c r="B146" s="3" t="s">
        <v>993</v>
      </c>
      <c r="C146" s="3" t="s">
        <v>1131</v>
      </c>
      <c r="D146" s="3" t="s">
        <v>1132</v>
      </c>
      <c r="E146" s="204" t="s">
        <v>1158</v>
      </c>
      <c r="F146" s="41" t="s">
        <v>1159</v>
      </c>
      <c r="G146" s="205"/>
      <c r="H146" s="206">
        <v>8000</v>
      </c>
      <c r="I146" s="206">
        <f t="shared" si="11"/>
        <v>8000</v>
      </c>
      <c r="J146" s="206">
        <f t="shared" si="12"/>
        <v>0</v>
      </c>
      <c r="L146" s="3"/>
      <c r="M146" s="3"/>
    </row>
    <row r="147" spans="1:13" ht="13.5" outlineLevel="2" thickBot="1">
      <c r="A147" s="3" t="str">
        <f t="shared" si="10"/>
        <v>O&amp;M Mobilization BudgetProcurement ExpensesOffice Furnishings, Equipment, Supplies</v>
      </c>
      <c r="B147" s="3" t="s">
        <v>993</v>
      </c>
      <c r="C147" s="3" t="s">
        <v>1131</v>
      </c>
      <c r="D147" s="3" t="s">
        <v>1132</v>
      </c>
      <c r="E147" s="204" t="s">
        <v>1160</v>
      </c>
      <c r="F147" s="41" t="s">
        <v>1161</v>
      </c>
      <c r="G147" s="205"/>
      <c r="H147" s="206">
        <v>1000</v>
      </c>
      <c r="I147" s="206">
        <f t="shared" si="11"/>
        <v>1000</v>
      </c>
      <c r="J147" s="206">
        <f t="shared" si="12"/>
        <v>0</v>
      </c>
      <c r="L147" s="3"/>
      <c r="M147" s="3"/>
    </row>
    <row r="148" spans="1:13" ht="13.5" outlineLevel="2" thickBot="1">
      <c r="E148" s="204" t="s">
        <v>0</v>
      </c>
      <c r="F148" s="41" t="s">
        <v>1</v>
      </c>
      <c r="G148" s="205"/>
      <c r="H148" s="206">
        <v>20000</v>
      </c>
      <c r="I148" s="206">
        <f t="shared" si="11"/>
        <v>20000</v>
      </c>
      <c r="J148" s="206">
        <f t="shared" si="12"/>
        <v>0</v>
      </c>
      <c r="L148" s="3"/>
      <c r="M148" s="3"/>
    </row>
    <row r="149" spans="1:13" ht="13.5" outlineLevel="2" thickBot="1">
      <c r="E149" s="204" t="s">
        <v>2</v>
      </c>
      <c r="F149" s="41" t="s">
        <v>3</v>
      </c>
      <c r="G149" s="205"/>
      <c r="H149" s="206">
        <v>0</v>
      </c>
      <c r="I149" s="206">
        <f t="shared" si="11"/>
        <v>0</v>
      </c>
      <c r="J149" s="206">
        <f t="shared" si="12"/>
        <v>0</v>
      </c>
      <c r="L149" s="3"/>
      <c r="M149" s="3"/>
    </row>
    <row r="150" spans="1:13" ht="13.5" outlineLevel="2" thickBot="1">
      <c r="E150" s="204" t="s">
        <v>4</v>
      </c>
      <c r="F150" s="41" t="s">
        <v>5</v>
      </c>
      <c r="G150" s="205"/>
      <c r="H150" s="206">
        <v>0</v>
      </c>
      <c r="I150" s="206">
        <f t="shared" si="11"/>
        <v>0</v>
      </c>
      <c r="J150" s="206">
        <f t="shared" si="12"/>
        <v>0</v>
      </c>
      <c r="L150" s="3"/>
      <c r="M150" s="3"/>
    </row>
    <row r="151" spans="1:13" ht="13.5" outlineLevel="2" thickBot="1">
      <c r="E151" s="204" t="s">
        <v>4</v>
      </c>
      <c r="F151" s="41" t="s">
        <v>6</v>
      </c>
      <c r="G151" s="205"/>
      <c r="H151" s="206">
        <v>0</v>
      </c>
      <c r="I151" s="206">
        <f t="shared" si="11"/>
        <v>0</v>
      </c>
      <c r="J151" s="206">
        <f t="shared" si="12"/>
        <v>0</v>
      </c>
      <c r="L151" s="3"/>
      <c r="M151" s="3"/>
    </row>
    <row r="152" spans="1:13" ht="13.5" outlineLevel="2" thickBot="1">
      <c r="A152" s="3" t="str">
        <f t="shared" ref="A152:A160" si="13">B152&amp;C152&amp;D152</f>
        <v>O&amp;M Mobilization BudgetProcurement ExpensesOffice Furnishings, Equipment, Supplies</v>
      </c>
      <c r="B152" s="3" t="s">
        <v>993</v>
      </c>
      <c r="C152" s="3" t="s">
        <v>1131</v>
      </c>
      <c r="D152" s="3" t="s">
        <v>1132</v>
      </c>
      <c r="E152" s="204" t="s">
        <v>7</v>
      </c>
      <c r="F152" s="41" t="s">
        <v>8</v>
      </c>
      <c r="G152" s="205"/>
      <c r="H152" s="206">
        <v>0</v>
      </c>
      <c r="I152" s="206">
        <f t="shared" si="11"/>
        <v>0</v>
      </c>
      <c r="J152" s="206">
        <f t="shared" si="12"/>
        <v>0</v>
      </c>
      <c r="L152" s="3"/>
      <c r="M152" s="3"/>
    </row>
    <row r="153" spans="1:13" ht="13.5" outlineLevel="2" thickBot="1">
      <c r="A153" s="3" t="str">
        <f t="shared" si="13"/>
        <v>O&amp;M Mobilization BudgetProcurement ExpensesOffice Furnishings, Equipment, Supplies</v>
      </c>
      <c r="B153" s="3" t="s">
        <v>993</v>
      </c>
      <c r="C153" s="3" t="s">
        <v>1131</v>
      </c>
      <c r="D153" s="3" t="s">
        <v>1132</v>
      </c>
      <c r="E153" s="204" t="s">
        <v>9</v>
      </c>
      <c r="F153" s="41" t="s">
        <v>10</v>
      </c>
      <c r="G153" s="205"/>
      <c r="H153" s="206">
        <v>0</v>
      </c>
      <c r="I153" s="206">
        <f t="shared" si="11"/>
        <v>0</v>
      </c>
      <c r="J153" s="206">
        <f t="shared" si="12"/>
        <v>0</v>
      </c>
      <c r="L153" s="3"/>
      <c r="M153" s="3"/>
    </row>
    <row r="154" spans="1:13" ht="13.5" outlineLevel="2" thickBot="1">
      <c r="A154" s="3" t="str">
        <f t="shared" si="13"/>
        <v>O&amp;M Mobilization BudgetProcurement ExpensesOffice Furnishings, Equipment, Supplies</v>
      </c>
      <c r="B154" s="3" t="s">
        <v>993</v>
      </c>
      <c r="C154" s="3" t="s">
        <v>1131</v>
      </c>
      <c r="D154" s="3" t="s">
        <v>1132</v>
      </c>
      <c r="E154" s="204" t="s">
        <v>11</v>
      </c>
      <c r="F154" s="41" t="s">
        <v>12</v>
      </c>
      <c r="G154" s="205"/>
      <c r="H154" s="206">
        <v>0</v>
      </c>
      <c r="I154" s="206">
        <f t="shared" si="11"/>
        <v>0</v>
      </c>
      <c r="J154" s="206">
        <f t="shared" si="12"/>
        <v>0</v>
      </c>
      <c r="L154" s="3"/>
      <c r="M154" s="3"/>
    </row>
    <row r="155" spans="1:13" ht="13.5" outlineLevel="2" thickBot="1">
      <c r="A155" s="3" t="str">
        <f t="shared" si="13"/>
        <v>O&amp;M Mobilization BudgetProcurement ExpensesOffice Furnishings, Equipment, Supplies</v>
      </c>
      <c r="B155" s="3" t="s">
        <v>993</v>
      </c>
      <c r="C155" s="3" t="s">
        <v>1131</v>
      </c>
      <c r="D155" s="3" t="s">
        <v>1132</v>
      </c>
      <c r="E155" s="204" t="s">
        <v>13</v>
      </c>
      <c r="F155" s="41" t="s">
        <v>14</v>
      </c>
      <c r="G155" s="205"/>
      <c r="H155" s="206">
        <v>100</v>
      </c>
      <c r="I155" s="206">
        <f t="shared" si="11"/>
        <v>100</v>
      </c>
      <c r="J155" s="206">
        <f t="shared" si="12"/>
        <v>0</v>
      </c>
      <c r="L155" s="3"/>
      <c r="M155" s="3"/>
    </row>
    <row r="156" spans="1:13" ht="13.5" outlineLevel="2" thickBot="1">
      <c r="A156" s="3" t="str">
        <f t="shared" si="13"/>
        <v>O&amp;M Mobilization BudgetProcurement ExpensesOffice Furnishings, Equipment, Supplies</v>
      </c>
      <c r="B156" s="3" t="s">
        <v>993</v>
      </c>
      <c r="C156" s="3" t="s">
        <v>1131</v>
      </c>
      <c r="D156" s="3" t="s">
        <v>1132</v>
      </c>
      <c r="E156" s="204" t="s">
        <v>15</v>
      </c>
      <c r="F156" s="41" t="s">
        <v>16</v>
      </c>
      <c r="G156" s="205"/>
      <c r="H156" s="206">
        <v>0</v>
      </c>
      <c r="I156" s="206">
        <f t="shared" si="11"/>
        <v>0</v>
      </c>
      <c r="J156" s="206">
        <f t="shared" si="12"/>
        <v>0</v>
      </c>
      <c r="L156" s="3"/>
      <c r="M156" s="3"/>
    </row>
    <row r="157" spans="1:13" ht="13.5" outlineLevel="2" thickBot="1">
      <c r="A157" s="3" t="str">
        <f t="shared" si="13"/>
        <v>O&amp;M Mobilization BudgetProcurement ExpensesOffice Furnishings, Equipment, Supplies</v>
      </c>
      <c r="B157" s="3" t="s">
        <v>993</v>
      </c>
      <c r="C157" s="3" t="s">
        <v>1131</v>
      </c>
      <c r="D157" s="3" t="s">
        <v>1132</v>
      </c>
      <c r="E157" s="204" t="s">
        <v>17</v>
      </c>
      <c r="F157" s="41" t="s">
        <v>18</v>
      </c>
      <c r="G157" s="205"/>
      <c r="H157" s="206">
        <v>1000</v>
      </c>
      <c r="I157" s="206">
        <f t="shared" si="11"/>
        <v>1000</v>
      </c>
      <c r="J157" s="206">
        <f t="shared" si="12"/>
        <v>0</v>
      </c>
      <c r="L157" s="3"/>
      <c r="M157" s="3"/>
    </row>
    <row r="158" spans="1:13" ht="13.5" outlineLevel="2" thickBot="1">
      <c r="A158" s="3" t="str">
        <f t="shared" si="13"/>
        <v>O&amp;M Mobilization BudgetProcurement ExpensesOffice Furnishings, Equipment, Supplies</v>
      </c>
      <c r="B158" s="3" t="s">
        <v>993</v>
      </c>
      <c r="C158" s="3" t="s">
        <v>1131</v>
      </c>
      <c r="D158" s="3" t="s">
        <v>1132</v>
      </c>
      <c r="E158" s="204"/>
      <c r="F158" s="41"/>
      <c r="G158" s="205"/>
      <c r="H158" s="206"/>
      <c r="I158" s="206">
        <f t="shared" si="11"/>
        <v>0</v>
      </c>
      <c r="J158" s="206">
        <f t="shared" si="12"/>
        <v>0</v>
      </c>
      <c r="L158" s="3"/>
      <c r="M158" s="3"/>
    </row>
    <row r="159" spans="1:13" ht="13.5" outlineLevel="2" thickBot="1">
      <c r="A159" s="3" t="str">
        <f t="shared" si="13"/>
        <v>O&amp;M Mobilization BudgetProcurement ExpensesOffice Furnishings, Equipment, Supplies</v>
      </c>
      <c r="B159" s="3" t="s">
        <v>993</v>
      </c>
      <c r="C159" s="3" t="s">
        <v>1131</v>
      </c>
      <c r="D159" s="3" t="s">
        <v>1132</v>
      </c>
      <c r="E159" s="204" t="s">
        <v>19</v>
      </c>
      <c r="F159" s="41" t="s">
        <v>20</v>
      </c>
      <c r="G159" s="205"/>
      <c r="H159" s="206">
        <v>400</v>
      </c>
      <c r="I159" s="206">
        <f t="shared" si="11"/>
        <v>400</v>
      </c>
      <c r="J159" s="206">
        <f t="shared" si="12"/>
        <v>0</v>
      </c>
      <c r="L159" s="3"/>
      <c r="M159" s="3"/>
    </row>
    <row r="160" spans="1:13" ht="13.5" outlineLevel="2" thickBot="1">
      <c r="A160" s="3" t="str">
        <f t="shared" si="13"/>
        <v>O&amp;M Mobilization BudgetProcurement ExpensesOffice Furnishings, Equipment, Supplies</v>
      </c>
      <c r="B160" s="3" t="s">
        <v>993</v>
      </c>
      <c r="C160" s="3" t="s">
        <v>1131</v>
      </c>
      <c r="D160" s="3" t="s">
        <v>1132</v>
      </c>
      <c r="E160" s="204" t="s">
        <v>21</v>
      </c>
      <c r="F160" s="41" t="s">
        <v>22</v>
      </c>
      <c r="G160" s="205"/>
      <c r="H160" s="206">
        <v>400</v>
      </c>
      <c r="I160" s="206">
        <f t="shared" si="11"/>
        <v>400</v>
      </c>
      <c r="J160" s="206">
        <f t="shared" si="12"/>
        <v>0</v>
      </c>
      <c r="L160" s="3"/>
      <c r="M160" s="3"/>
    </row>
    <row r="161" spans="1:13" ht="13.5" outlineLevel="2" thickBot="1">
      <c r="E161" s="204" t="s">
        <v>23</v>
      </c>
      <c r="F161" s="41" t="s">
        <v>24</v>
      </c>
      <c r="G161" s="205"/>
      <c r="H161" s="206">
        <v>500</v>
      </c>
      <c r="I161" s="206">
        <f t="shared" si="11"/>
        <v>500</v>
      </c>
      <c r="J161" s="206">
        <f t="shared" si="12"/>
        <v>0</v>
      </c>
      <c r="L161" s="3"/>
      <c r="M161" s="3"/>
    </row>
    <row r="162" spans="1:13" ht="13.5" outlineLevel="2" thickBot="1">
      <c r="A162" s="3" t="str">
        <f>B162&amp;C162&amp;D162</f>
        <v>O&amp;M Mobilization BudgetProcurement ExpensesOffice Furnishings, Equipment, Supplies</v>
      </c>
      <c r="B162" s="3" t="s">
        <v>993</v>
      </c>
      <c r="C162" s="3" t="s">
        <v>1131</v>
      </c>
      <c r="D162" s="3" t="s">
        <v>1132</v>
      </c>
      <c r="E162" s="204" t="s">
        <v>25</v>
      </c>
      <c r="F162" s="41" t="s">
        <v>26</v>
      </c>
      <c r="G162" s="205"/>
      <c r="H162" s="206">
        <v>1200</v>
      </c>
      <c r="I162" s="206">
        <f t="shared" si="11"/>
        <v>1200</v>
      </c>
      <c r="J162" s="206">
        <f t="shared" si="12"/>
        <v>0</v>
      </c>
      <c r="L162" s="3"/>
      <c r="M162" s="3"/>
    </row>
    <row r="163" spans="1:13" ht="13.5" outlineLevel="2" thickBot="1">
      <c r="E163" s="204" t="s">
        <v>27</v>
      </c>
      <c r="F163" s="41"/>
      <c r="G163" s="205"/>
      <c r="H163" s="206">
        <v>2000</v>
      </c>
      <c r="I163" s="206">
        <f t="shared" si="11"/>
        <v>2000</v>
      </c>
      <c r="J163" s="206">
        <f t="shared" si="12"/>
        <v>0</v>
      </c>
      <c r="L163" s="3"/>
      <c r="M163" s="3"/>
    </row>
    <row r="164" spans="1:13" ht="13.5" outlineLevel="2" thickBot="1">
      <c r="E164" s="204" t="s">
        <v>28</v>
      </c>
      <c r="F164" s="41"/>
      <c r="G164" s="205"/>
      <c r="H164" s="206">
        <v>250</v>
      </c>
      <c r="I164" s="206">
        <f t="shared" si="11"/>
        <v>250</v>
      </c>
      <c r="J164" s="206">
        <f t="shared" si="12"/>
        <v>0</v>
      </c>
      <c r="L164" s="3"/>
      <c r="M164" s="3"/>
    </row>
    <row r="165" spans="1:13" ht="13.5" outlineLevel="2" thickBot="1">
      <c r="E165" s="204" t="s">
        <v>1115</v>
      </c>
      <c r="F165" s="41" t="s">
        <v>29</v>
      </c>
      <c r="G165" s="205"/>
      <c r="H165" s="206">
        <f>SUM(H133:H164)*0.05</f>
        <v>2132.5</v>
      </c>
      <c r="I165" s="206">
        <f t="shared" si="11"/>
        <v>2132.5</v>
      </c>
      <c r="J165" s="206">
        <f t="shared" si="12"/>
        <v>0</v>
      </c>
      <c r="L165" s="3"/>
      <c r="M165" s="3"/>
    </row>
    <row r="166" spans="1:13" ht="13.5" outlineLevel="2" thickBot="1">
      <c r="E166" s="204"/>
      <c r="F166" s="41"/>
      <c r="G166" s="205"/>
      <c r="H166" s="206"/>
      <c r="I166" s="206"/>
      <c r="J166" s="206"/>
      <c r="L166" s="3"/>
      <c r="M166" s="3"/>
    </row>
    <row r="167" spans="1:13" s="203" customFormat="1" ht="13.5" outlineLevel="1" thickBot="1">
      <c r="A167" s="203" t="s">
        <v>30</v>
      </c>
      <c r="B167" s="203" t="s">
        <v>993</v>
      </c>
      <c r="C167" s="203" t="s">
        <v>1131</v>
      </c>
      <c r="D167" s="203" t="s">
        <v>1132</v>
      </c>
      <c r="E167" s="204"/>
      <c r="F167" s="41"/>
      <c r="G167" s="207" t="s">
        <v>1005</v>
      </c>
      <c r="H167" s="208">
        <f>SUBTOTAL(9,H133:H166)</f>
        <v>44782.5</v>
      </c>
      <c r="I167" s="208">
        <f>SUBTOTAL(9,I133:I166)</f>
        <v>44782.5</v>
      </c>
      <c r="J167" s="208">
        <f>SUBTOTAL(9,J133:J166)</f>
        <v>0</v>
      </c>
    </row>
    <row r="168" spans="1:13" s="203" customFormat="1" ht="13.5" outlineLevel="1" thickBot="1">
      <c r="A168" s="3" t="s">
        <v>31</v>
      </c>
      <c r="B168" s="3" t="s">
        <v>993</v>
      </c>
      <c r="C168" s="3" t="s">
        <v>1131</v>
      </c>
      <c r="D168" s="3" t="s">
        <v>32</v>
      </c>
      <c r="E168" s="218" t="s">
        <v>33</v>
      </c>
      <c r="F168" s="219"/>
      <c r="G168" s="220"/>
      <c r="H168" s="201"/>
      <c r="I168" s="201"/>
      <c r="J168" s="201"/>
    </row>
    <row r="169" spans="1:13" ht="13.5" outlineLevel="2" thickBot="1">
      <c r="A169" s="3" t="str">
        <f>B169&amp;C169&amp;D169</f>
        <v>O&amp;M Mobilization BudgetProcurement ExpensesSafety Equipment &amp; Supplies</v>
      </c>
      <c r="B169" s="3" t="s">
        <v>993</v>
      </c>
      <c r="C169" s="3" t="s">
        <v>1131</v>
      </c>
      <c r="D169" s="3" t="s">
        <v>32</v>
      </c>
      <c r="E169" s="204" t="s">
        <v>34</v>
      </c>
      <c r="F169" s="41" t="s">
        <v>35</v>
      </c>
      <c r="G169" s="205"/>
      <c r="H169" s="206"/>
      <c r="I169" s="206">
        <f t="shared" ref="I169:I179" si="14">H169</f>
        <v>0</v>
      </c>
      <c r="J169" s="206">
        <f t="shared" ref="J169:J179" si="15">H169-I169</f>
        <v>0</v>
      </c>
      <c r="L169" s="3"/>
      <c r="M169" s="3"/>
    </row>
    <row r="170" spans="1:13" ht="13.5" outlineLevel="2" thickBot="1">
      <c r="E170" s="204"/>
      <c r="F170" s="41" t="s">
        <v>36</v>
      </c>
      <c r="G170" s="205"/>
      <c r="H170" s="206">
        <v>3000</v>
      </c>
      <c r="I170" s="206">
        <f t="shared" si="14"/>
        <v>3000</v>
      </c>
      <c r="J170" s="206">
        <f t="shared" si="15"/>
        <v>0</v>
      </c>
      <c r="L170" s="3"/>
      <c r="M170" s="3"/>
    </row>
    <row r="171" spans="1:13" ht="13.5" outlineLevel="2" thickBot="1">
      <c r="E171" s="204" t="s">
        <v>37</v>
      </c>
      <c r="F171" s="41" t="s">
        <v>38</v>
      </c>
      <c r="G171" s="205"/>
      <c r="H171" s="206">
        <f>10*120</f>
        <v>1200</v>
      </c>
      <c r="I171" s="206">
        <f t="shared" si="14"/>
        <v>1200</v>
      </c>
      <c r="J171" s="206">
        <f t="shared" si="15"/>
        <v>0</v>
      </c>
      <c r="L171" s="3"/>
      <c r="M171" s="3"/>
    </row>
    <row r="172" spans="1:13" ht="13.5" outlineLevel="2" thickBot="1">
      <c r="E172" s="204" t="s">
        <v>39</v>
      </c>
      <c r="F172" s="41"/>
      <c r="G172" s="205"/>
      <c r="H172" s="206">
        <v>7700</v>
      </c>
      <c r="I172" s="206">
        <f t="shared" si="14"/>
        <v>7700</v>
      </c>
      <c r="J172" s="206">
        <f t="shared" si="15"/>
        <v>0</v>
      </c>
      <c r="L172" s="3"/>
      <c r="M172" s="3"/>
    </row>
    <row r="173" spans="1:13" ht="13.5" outlineLevel="2" thickBot="1">
      <c r="E173" s="204" t="s">
        <v>40</v>
      </c>
      <c r="F173" s="41" t="s">
        <v>41</v>
      </c>
      <c r="G173" s="205"/>
      <c r="H173" s="206">
        <v>6000</v>
      </c>
      <c r="I173" s="206">
        <f t="shared" si="14"/>
        <v>6000</v>
      </c>
      <c r="J173" s="206">
        <f t="shared" si="15"/>
        <v>0</v>
      </c>
      <c r="L173" s="3"/>
      <c r="M173" s="3"/>
    </row>
    <row r="174" spans="1:13" ht="13.5" outlineLevel="2" thickBot="1">
      <c r="E174" s="204" t="s">
        <v>42</v>
      </c>
      <c r="F174" s="41" t="s">
        <v>43</v>
      </c>
      <c r="G174" s="205"/>
      <c r="H174" s="206">
        <v>2500</v>
      </c>
      <c r="I174" s="206">
        <f t="shared" si="14"/>
        <v>2500</v>
      </c>
      <c r="J174" s="206">
        <f t="shared" si="15"/>
        <v>0</v>
      </c>
      <c r="L174" s="3"/>
      <c r="M174" s="3"/>
    </row>
    <row r="175" spans="1:13" ht="13.5" outlineLevel="2" thickBot="1">
      <c r="E175" s="204" t="s">
        <v>44</v>
      </c>
      <c r="F175" s="41" t="s">
        <v>45</v>
      </c>
      <c r="G175" s="205"/>
      <c r="H175" s="206"/>
      <c r="I175" s="206">
        <f t="shared" si="14"/>
        <v>0</v>
      </c>
      <c r="J175" s="206">
        <f t="shared" si="15"/>
        <v>0</v>
      </c>
      <c r="L175" s="3"/>
      <c r="M175" s="3"/>
    </row>
    <row r="176" spans="1:13" ht="13.5" outlineLevel="2" thickBot="1">
      <c r="E176" s="204" t="s">
        <v>46</v>
      </c>
      <c r="F176" s="41"/>
      <c r="G176" s="205">
        <v>44700</v>
      </c>
      <c r="H176" s="206"/>
      <c r="I176" s="206">
        <f t="shared" si="14"/>
        <v>0</v>
      </c>
      <c r="J176" s="206">
        <f t="shared" si="15"/>
        <v>0</v>
      </c>
      <c r="L176" s="3"/>
      <c r="M176" s="3"/>
    </row>
    <row r="177" spans="1:13" ht="13.5" outlineLevel="2" thickBot="1">
      <c r="E177" s="204" t="s">
        <v>47</v>
      </c>
      <c r="F177" s="41"/>
      <c r="G177" s="205">
        <v>21000</v>
      </c>
      <c r="H177" s="206"/>
      <c r="I177" s="206">
        <f t="shared" si="14"/>
        <v>0</v>
      </c>
      <c r="J177" s="206">
        <f t="shared" si="15"/>
        <v>0</v>
      </c>
      <c r="L177" s="3"/>
      <c r="M177" s="3"/>
    </row>
    <row r="178" spans="1:13" ht="13.5" outlineLevel="2" thickBot="1">
      <c r="E178" s="204" t="s">
        <v>48</v>
      </c>
      <c r="F178" s="41"/>
      <c r="G178" s="205">
        <v>17600</v>
      </c>
      <c r="H178" s="206"/>
      <c r="I178" s="206">
        <f t="shared" si="14"/>
        <v>0</v>
      </c>
      <c r="J178" s="206">
        <f t="shared" si="15"/>
        <v>0</v>
      </c>
      <c r="L178" s="3"/>
      <c r="M178" s="3"/>
    </row>
    <row r="179" spans="1:13" ht="13.5" outlineLevel="2" thickBot="1">
      <c r="E179" s="204" t="s">
        <v>1115</v>
      </c>
      <c r="F179" s="41" t="s">
        <v>29</v>
      </c>
      <c r="G179" s="205"/>
      <c r="H179" s="206">
        <f>0.05*SUM(H169:H175)</f>
        <v>1020</v>
      </c>
      <c r="I179" s="206">
        <f t="shared" si="14"/>
        <v>1020</v>
      </c>
      <c r="J179" s="206">
        <f t="shared" si="15"/>
        <v>0</v>
      </c>
      <c r="L179" s="3"/>
      <c r="M179" s="3"/>
    </row>
    <row r="180" spans="1:13" ht="13.5" outlineLevel="2" thickBot="1">
      <c r="E180" s="204"/>
      <c r="F180" s="41"/>
      <c r="G180" s="205"/>
      <c r="H180" s="206"/>
      <c r="I180" s="206"/>
      <c r="J180" s="206"/>
      <c r="L180" s="3"/>
      <c r="M180" s="3"/>
    </row>
    <row r="181" spans="1:13" s="203" customFormat="1" ht="13.5" outlineLevel="1" thickBot="1">
      <c r="A181" s="203" t="s">
        <v>49</v>
      </c>
      <c r="B181" s="203" t="s">
        <v>993</v>
      </c>
      <c r="C181" s="203" t="s">
        <v>1131</v>
      </c>
      <c r="D181" s="203" t="s">
        <v>32</v>
      </c>
      <c r="E181" s="204"/>
      <c r="F181" s="41"/>
      <c r="G181" s="207" t="s">
        <v>1005</v>
      </c>
      <c r="H181" s="208">
        <f>SUBTOTAL(9,H169:H180)</f>
        <v>21420</v>
      </c>
      <c r="I181" s="208">
        <f>SUBTOTAL(9,I169:I180)</f>
        <v>21420</v>
      </c>
      <c r="J181" s="208">
        <f>SUBTOTAL(9,J169:J180)</f>
        <v>0</v>
      </c>
    </row>
    <row r="182" spans="1:13" s="203" customFormat="1" ht="13.5" outlineLevel="1" thickBot="1">
      <c r="A182" s="3" t="s">
        <v>50</v>
      </c>
      <c r="B182" s="3" t="s">
        <v>993</v>
      </c>
      <c r="C182" s="3" t="s">
        <v>1131</v>
      </c>
      <c r="D182" s="3" t="s">
        <v>950</v>
      </c>
      <c r="E182" s="218" t="s">
        <v>950</v>
      </c>
      <c r="F182" s="219"/>
      <c r="G182" s="220"/>
      <c r="H182" s="201"/>
      <c r="I182" s="201"/>
      <c r="J182" s="201"/>
    </row>
    <row r="183" spans="1:13" ht="13.5" outlineLevel="2" thickBot="1">
      <c r="A183" s="3" t="str">
        <f>B183&amp;C183&amp;D183</f>
        <v>O&amp;M Mobilization BudgetProcurement ExpensesVehicles &amp; Mobile Equipment</v>
      </c>
      <c r="B183" s="3" t="s">
        <v>993</v>
      </c>
      <c r="C183" s="3" t="s">
        <v>1131</v>
      </c>
      <c r="D183" s="3" t="s">
        <v>950</v>
      </c>
      <c r="E183" s="204" t="s">
        <v>51</v>
      </c>
      <c r="F183" s="41"/>
      <c r="G183" s="205" t="s">
        <v>52</v>
      </c>
      <c r="H183" s="206"/>
      <c r="I183" s="206">
        <f t="shared" ref="I183:I197" si="16">H183</f>
        <v>0</v>
      </c>
      <c r="J183" s="206">
        <f t="shared" ref="J183:J197" si="17">H183-I183</f>
        <v>0</v>
      </c>
      <c r="L183" s="3"/>
      <c r="M183" s="3"/>
    </row>
    <row r="184" spans="1:13" ht="13.5" outlineLevel="2" thickBot="1">
      <c r="A184" s="3" t="str">
        <f>B184&amp;C184&amp;D184</f>
        <v>O&amp;M Mobilization BudgetProcurement ExpensesVehicles &amp; Mobile Equipment</v>
      </c>
      <c r="B184" s="3" t="s">
        <v>993</v>
      </c>
      <c r="C184" s="3" t="s">
        <v>1131</v>
      </c>
      <c r="D184" s="3" t="s">
        <v>950</v>
      </c>
      <c r="E184" s="204" t="s">
        <v>53</v>
      </c>
      <c r="F184" s="41" t="s">
        <v>54</v>
      </c>
      <c r="G184" s="205" t="s">
        <v>55</v>
      </c>
      <c r="H184" s="206">
        <v>0</v>
      </c>
      <c r="I184" s="206">
        <f t="shared" si="16"/>
        <v>0</v>
      </c>
      <c r="J184" s="206">
        <f t="shared" si="17"/>
        <v>0</v>
      </c>
      <c r="L184" s="3"/>
      <c r="M184" s="3"/>
    </row>
    <row r="185" spans="1:13" ht="13.5" outlineLevel="2" thickBot="1">
      <c r="E185" s="204" t="s">
        <v>56</v>
      </c>
      <c r="F185" s="41"/>
      <c r="G185" s="205" t="s">
        <v>57</v>
      </c>
      <c r="H185" s="206"/>
      <c r="I185" s="206">
        <f t="shared" si="16"/>
        <v>0</v>
      </c>
      <c r="J185" s="206">
        <f t="shared" si="17"/>
        <v>0</v>
      </c>
      <c r="L185" s="3"/>
      <c r="M185" s="3"/>
    </row>
    <row r="186" spans="1:13" ht="13.5" outlineLevel="2" thickBot="1">
      <c r="A186" s="3" t="str">
        <f>B186&amp;C186&amp;D186</f>
        <v>O&amp;M Mobilization BudgetProcurement ExpensesVehicles &amp; Mobile Equipment</v>
      </c>
      <c r="B186" s="3" t="s">
        <v>993</v>
      </c>
      <c r="C186" s="3" t="s">
        <v>1131</v>
      </c>
      <c r="D186" s="3" t="s">
        <v>950</v>
      </c>
      <c r="E186" s="204" t="s">
        <v>58</v>
      </c>
      <c r="F186" s="41"/>
      <c r="G186" s="205" t="s">
        <v>59</v>
      </c>
      <c r="H186" s="206"/>
      <c r="I186" s="206">
        <f t="shared" si="16"/>
        <v>0</v>
      </c>
      <c r="J186" s="206">
        <f t="shared" si="17"/>
        <v>0</v>
      </c>
      <c r="L186" s="3"/>
      <c r="M186" s="3"/>
    </row>
    <row r="187" spans="1:13" ht="13.5" outlineLevel="2" thickBot="1">
      <c r="E187" s="204" t="s">
        <v>60</v>
      </c>
      <c r="F187" s="41" t="s">
        <v>61</v>
      </c>
      <c r="G187" s="205" t="s">
        <v>62</v>
      </c>
      <c r="H187" s="206">
        <v>0</v>
      </c>
      <c r="I187" s="206">
        <f t="shared" si="16"/>
        <v>0</v>
      </c>
      <c r="J187" s="206">
        <f t="shared" si="17"/>
        <v>0</v>
      </c>
      <c r="L187" s="3"/>
      <c r="M187" s="3"/>
    </row>
    <row r="188" spans="1:13" ht="13.5" outlineLevel="2" thickBot="1">
      <c r="E188" s="204" t="s">
        <v>63</v>
      </c>
      <c r="F188" s="41"/>
      <c r="G188" s="205" t="s">
        <v>64</v>
      </c>
      <c r="H188" s="206"/>
      <c r="I188" s="206">
        <f t="shared" si="16"/>
        <v>0</v>
      </c>
      <c r="J188" s="206">
        <f t="shared" si="17"/>
        <v>0</v>
      </c>
      <c r="L188" s="3"/>
      <c r="M188" s="3"/>
    </row>
    <row r="189" spans="1:13" ht="13.5" outlineLevel="2" thickBot="1">
      <c r="A189" s="3" t="str">
        <f>B189&amp;C189&amp;D189</f>
        <v>O&amp;M Mobilization BudgetProcurement ExpensesVehicles &amp; Mobile Equipment</v>
      </c>
      <c r="B189" s="3" t="s">
        <v>993</v>
      </c>
      <c r="C189" s="3" t="s">
        <v>1131</v>
      </c>
      <c r="D189" s="3" t="s">
        <v>950</v>
      </c>
      <c r="E189" s="204" t="s">
        <v>65</v>
      </c>
      <c r="F189" s="41"/>
      <c r="G189" s="205" t="s">
        <v>66</v>
      </c>
      <c r="H189" s="206">
        <v>0</v>
      </c>
      <c r="I189" s="206">
        <f t="shared" si="16"/>
        <v>0</v>
      </c>
      <c r="J189" s="206">
        <f t="shared" si="17"/>
        <v>0</v>
      </c>
      <c r="L189" s="3"/>
      <c r="M189" s="3"/>
    </row>
    <row r="190" spans="1:13" ht="13.5" outlineLevel="2" thickBot="1">
      <c r="E190" s="204" t="s">
        <v>67</v>
      </c>
      <c r="F190" s="41" t="s">
        <v>68</v>
      </c>
      <c r="G190" s="205" t="s">
        <v>69</v>
      </c>
      <c r="H190" s="206">
        <v>1000</v>
      </c>
      <c r="I190" s="206">
        <f t="shared" si="16"/>
        <v>1000</v>
      </c>
      <c r="J190" s="206">
        <f t="shared" si="17"/>
        <v>0</v>
      </c>
      <c r="L190" s="3"/>
      <c r="M190" s="3"/>
    </row>
    <row r="191" spans="1:13" ht="13.5" outlineLevel="2" thickBot="1">
      <c r="E191" s="204" t="s">
        <v>70</v>
      </c>
      <c r="F191" s="41"/>
      <c r="G191" s="205"/>
      <c r="H191" s="206">
        <v>0</v>
      </c>
      <c r="I191" s="206">
        <f t="shared" si="16"/>
        <v>0</v>
      </c>
      <c r="J191" s="206">
        <f t="shared" si="17"/>
        <v>0</v>
      </c>
      <c r="L191" s="3"/>
      <c r="M191" s="3"/>
    </row>
    <row r="192" spans="1:13" ht="13.5" outlineLevel="2" thickBot="1">
      <c r="E192" s="204" t="s">
        <v>71</v>
      </c>
      <c r="F192" s="41"/>
      <c r="G192" s="205" t="s">
        <v>72</v>
      </c>
      <c r="H192" s="206"/>
      <c r="I192" s="206">
        <f t="shared" si="16"/>
        <v>0</v>
      </c>
      <c r="J192" s="206">
        <f t="shared" si="17"/>
        <v>0</v>
      </c>
      <c r="L192" s="3"/>
      <c r="M192" s="3"/>
    </row>
    <row r="193" spans="1:13" ht="13.5" outlineLevel="2" thickBot="1">
      <c r="E193" s="204" t="s">
        <v>73</v>
      </c>
      <c r="F193" s="41"/>
      <c r="G193" s="205" t="s">
        <v>74</v>
      </c>
      <c r="H193" s="206"/>
      <c r="I193" s="206">
        <f t="shared" si="16"/>
        <v>0</v>
      </c>
      <c r="J193" s="206">
        <f t="shared" si="17"/>
        <v>0</v>
      </c>
      <c r="L193" s="3"/>
      <c r="M193" s="3"/>
    </row>
    <row r="194" spans="1:13" ht="13.5" outlineLevel="2" thickBot="1">
      <c r="E194" s="204" t="s">
        <v>75</v>
      </c>
      <c r="F194" s="41"/>
      <c r="G194" s="205" t="s">
        <v>76</v>
      </c>
      <c r="H194" s="206"/>
      <c r="I194" s="206">
        <f t="shared" si="16"/>
        <v>0</v>
      </c>
      <c r="J194" s="206">
        <f t="shared" si="17"/>
        <v>0</v>
      </c>
      <c r="L194" s="3"/>
      <c r="M194" s="3"/>
    </row>
    <row r="195" spans="1:13" ht="13.5" outlineLevel="2" thickBot="1">
      <c r="A195" s="3" t="str">
        <f>B195&amp;C195&amp;D195</f>
        <v>O&amp;M Mobilization BudgetProcurement ExpensesVehicles &amp; Mobile Equipment</v>
      </c>
      <c r="B195" s="3" t="s">
        <v>993</v>
      </c>
      <c r="C195" s="3" t="s">
        <v>1131</v>
      </c>
      <c r="D195" s="3" t="s">
        <v>950</v>
      </c>
      <c r="E195" s="204" t="s">
        <v>77</v>
      </c>
      <c r="F195" s="41"/>
      <c r="G195" s="205" t="s">
        <v>78</v>
      </c>
      <c r="H195" s="206"/>
      <c r="I195" s="206">
        <f t="shared" si="16"/>
        <v>0</v>
      </c>
      <c r="J195" s="206">
        <f t="shared" si="17"/>
        <v>0</v>
      </c>
      <c r="L195" s="3"/>
      <c r="M195" s="3"/>
    </row>
    <row r="196" spans="1:13" ht="13.5" outlineLevel="2" thickBot="1">
      <c r="E196" s="204" t="s">
        <v>79</v>
      </c>
      <c r="F196" s="41"/>
      <c r="G196" s="205" t="s">
        <v>80</v>
      </c>
      <c r="H196" s="206">
        <v>0</v>
      </c>
      <c r="I196" s="206">
        <f t="shared" si="16"/>
        <v>0</v>
      </c>
      <c r="J196" s="206">
        <f t="shared" si="17"/>
        <v>0</v>
      </c>
      <c r="L196" s="3"/>
      <c r="M196" s="3"/>
    </row>
    <row r="197" spans="1:13" ht="13.5" outlineLevel="2" thickBot="1">
      <c r="E197" s="204" t="s">
        <v>81</v>
      </c>
      <c r="F197" s="41"/>
      <c r="G197" s="205" t="s">
        <v>82</v>
      </c>
      <c r="H197" s="206">
        <v>0</v>
      </c>
      <c r="I197" s="206">
        <f t="shared" si="16"/>
        <v>0</v>
      </c>
      <c r="J197" s="206">
        <f t="shared" si="17"/>
        <v>0</v>
      </c>
      <c r="L197" s="3"/>
      <c r="M197" s="3"/>
    </row>
    <row r="198" spans="1:13" ht="13.5" outlineLevel="2" thickBot="1">
      <c r="E198" s="204" t="s">
        <v>83</v>
      </c>
      <c r="F198" s="41"/>
      <c r="G198" s="205"/>
      <c r="H198" s="206">
        <v>2500</v>
      </c>
      <c r="I198" s="206"/>
      <c r="J198" s="206"/>
      <c r="L198" s="3"/>
      <c r="M198" s="3"/>
    </row>
    <row r="199" spans="1:13" ht="13.5" outlineLevel="2" thickBot="1">
      <c r="E199" s="204" t="s">
        <v>1115</v>
      </c>
      <c r="F199" s="41" t="s">
        <v>29</v>
      </c>
      <c r="G199" s="205"/>
      <c r="H199" s="206">
        <f>0.05*SUM(H183:H196)</f>
        <v>50</v>
      </c>
      <c r="I199" s="206">
        <f>H199</f>
        <v>50</v>
      </c>
      <c r="J199" s="206">
        <f>H199-I199</f>
        <v>0</v>
      </c>
      <c r="L199" s="3"/>
      <c r="M199" s="3"/>
    </row>
    <row r="200" spans="1:13" ht="13.5" outlineLevel="2" thickBot="1">
      <c r="E200" s="204"/>
      <c r="F200" s="41"/>
      <c r="G200" s="205"/>
      <c r="H200" s="206"/>
      <c r="I200" s="206"/>
      <c r="J200" s="206"/>
      <c r="L200" s="3"/>
      <c r="M200" s="3"/>
    </row>
    <row r="201" spans="1:13" s="203" customFormat="1" ht="13.5" outlineLevel="1" thickBot="1">
      <c r="A201" s="203" t="s">
        <v>84</v>
      </c>
      <c r="B201" s="203" t="s">
        <v>993</v>
      </c>
      <c r="C201" s="203" t="s">
        <v>1131</v>
      </c>
      <c r="D201" s="203" t="s">
        <v>950</v>
      </c>
      <c r="E201" s="204" t="s">
        <v>85</v>
      </c>
      <c r="F201" s="41"/>
      <c r="G201" s="207" t="s">
        <v>1005</v>
      </c>
      <c r="H201" s="208">
        <f>SUBTOTAL(9,H183:H200)</f>
        <v>3550</v>
      </c>
      <c r="I201" s="208">
        <f>SUBTOTAL(9,I183:I200)</f>
        <v>1050</v>
      </c>
      <c r="J201" s="208">
        <f>SUBTOTAL(9,J183:J200)</f>
        <v>0</v>
      </c>
    </row>
    <row r="202" spans="1:13" s="203" customFormat="1" ht="13.5" outlineLevel="1" thickBot="1">
      <c r="A202" s="3" t="s">
        <v>86</v>
      </c>
      <c r="B202" s="3" t="s">
        <v>993</v>
      </c>
      <c r="C202" s="3" t="s">
        <v>1131</v>
      </c>
      <c r="D202" s="3" t="s">
        <v>801</v>
      </c>
      <c r="E202" s="218" t="s">
        <v>801</v>
      </c>
      <c r="F202" s="219"/>
      <c r="G202" s="220"/>
      <c r="H202" s="201"/>
      <c r="I202" s="201"/>
      <c r="J202" s="201"/>
    </row>
    <row r="203" spans="1:13" ht="13.5" outlineLevel="2" thickBot="1">
      <c r="A203" s="3" t="str">
        <f>B203&amp;C203&amp;D203</f>
        <v>O&amp;M Mobilization BudgetProcurement ExpensesWarehouse Furnishings &amp; Equipment</v>
      </c>
      <c r="B203" s="3" t="s">
        <v>993</v>
      </c>
      <c r="C203" s="3" t="s">
        <v>1131</v>
      </c>
      <c r="D203" s="3" t="s">
        <v>801</v>
      </c>
      <c r="E203" s="204" t="s">
        <v>87</v>
      </c>
      <c r="F203" s="41" t="s">
        <v>88</v>
      </c>
      <c r="G203" s="205"/>
      <c r="H203" s="206">
        <v>3000</v>
      </c>
      <c r="I203" s="206">
        <f>H203</f>
        <v>3000</v>
      </c>
      <c r="J203" s="206">
        <f>H203-I203</f>
        <v>0</v>
      </c>
      <c r="L203" s="3"/>
      <c r="M203" s="3"/>
    </row>
    <row r="204" spans="1:13" ht="13.5" outlineLevel="2" thickBot="1">
      <c r="A204" s="3" t="str">
        <f>B204&amp;C204&amp;D204</f>
        <v>O&amp;M Mobilization BudgetProcurement ExpensesWarehouse Furnishings &amp; Equipment</v>
      </c>
      <c r="B204" s="3" t="s">
        <v>993</v>
      </c>
      <c r="C204" s="3" t="s">
        <v>1131</v>
      </c>
      <c r="D204" s="3" t="s">
        <v>801</v>
      </c>
      <c r="E204" s="204" t="s">
        <v>89</v>
      </c>
      <c r="F204" s="41" t="s">
        <v>90</v>
      </c>
      <c r="G204" s="205"/>
      <c r="H204" s="206">
        <v>1000</v>
      </c>
      <c r="I204" s="206">
        <f>H204</f>
        <v>1000</v>
      </c>
      <c r="J204" s="206">
        <f>H204-I204</f>
        <v>0</v>
      </c>
      <c r="L204" s="3"/>
      <c r="M204" s="3"/>
    </row>
    <row r="205" spans="1:13" ht="14.25" customHeight="1" outlineLevel="2" thickBot="1">
      <c r="A205" s="3" t="str">
        <f>B205&amp;C205&amp;D205</f>
        <v>O&amp;M Mobilization BudgetProcurement ExpensesWarehouse Furnishings &amp; Equipment</v>
      </c>
      <c r="B205" s="3" t="s">
        <v>993</v>
      </c>
      <c r="C205" s="3" t="s">
        <v>1131</v>
      </c>
      <c r="D205" s="3" t="s">
        <v>801</v>
      </c>
      <c r="E205" s="204" t="s">
        <v>91</v>
      </c>
      <c r="F205" s="41" t="s">
        <v>92</v>
      </c>
      <c r="G205" s="205"/>
      <c r="H205" s="206"/>
      <c r="I205" s="206">
        <f>H205</f>
        <v>0</v>
      </c>
      <c r="J205" s="206">
        <f>H205-I205</f>
        <v>0</v>
      </c>
      <c r="L205" s="3"/>
      <c r="M205" s="3"/>
    </row>
    <row r="206" spans="1:13" ht="13.5" outlineLevel="2" thickBot="1">
      <c r="A206" s="3" t="str">
        <f>B206&amp;C206&amp;D206</f>
        <v>O&amp;M Mobilization BudgetProcurement ExpensesWarehouse Furnishings &amp; Equipment</v>
      </c>
      <c r="B206" s="3" t="s">
        <v>993</v>
      </c>
      <c r="C206" s="3" t="s">
        <v>1131</v>
      </c>
      <c r="D206" s="3" t="s">
        <v>801</v>
      </c>
      <c r="E206" s="204" t="s">
        <v>93</v>
      </c>
      <c r="F206" s="41"/>
      <c r="G206" s="205"/>
      <c r="H206" s="206">
        <v>500</v>
      </c>
      <c r="I206" s="206">
        <f>H206</f>
        <v>500</v>
      </c>
      <c r="J206" s="206">
        <f>H206-I206</f>
        <v>0</v>
      </c>
      <c r="L206" s="3"/>
      <c r="M206" s="3"/>
    </row>
    <row r="207" spans="1:13" ht="13.5" outlineLevel="2" thickBot="1">
      <c r="E207" s="204" t="s">
        <v>1115</v>
      </c>
      <c r="F207" s="41" t="s">
        <v>29</v>
      </c>
      <c r="G207" s="205"/>
      <c r="H207" s="206">
        <f>0.05*SUM(H203:H206)</f>
        <v>225</v>
      </c>
      <c r="I207" s="206">
        <f>H207</f>
        <v>225</v>
      </c>
      <c r="J207" s="206">
        <f>H207-I207</f>
        <v>0</v>
      </c>
      <c r="L207" s="3"/>
      <c r="M207" s="3"/>
    </row>
    <row r="208" spans="1:13" ht="13.5" outlineLevel="2" thickBot="1">
      <c r="E208" s="204"/>
      <c r="F208" s="41"/>
      <c r="G208" s="205"/>
      <c r="H208" s="206"/>
      <c r="I208" s="206"/>
      <c r="J208" s="206"/>
      <c r="L208" s="3"/>
      <c r="M208" s="3"/>
    </row>
    <row r="209" spans="1:13" s="203" customFormat="1" ht="13.5" outlineLevel="1" thickBot="1">
      <c r="A209" s="203" t="s">
        <v>94</v>
      </c>
      <c r="B209" s="203" t="s">
        <v>993</v>
      </c>
      <c r="C209" s="203" t="s">
        <v>1131</v>
      </c>
      <c r="D209" s="203" t="s">
        <v>801</v>
      </c>
      <c r="E209" s="204"/>
      <c r="F209" s="41"/>
      <c r="G209" s="207" t="s">
        <v>1005</v>
      </c>
      <c r="H209" s="208">
        <f>SUBTOTAL(9,H203:H208)</f>
        <v>4725</v>
      </c>
      <c r="I209" s="208">
        <f>SUBTOTAL(9,I203:I208)</f>
        <v>4725</v>
      </c>
      <c r="J209" s="208">
        <f>SUBTOTAL(9,J203:J208)</f>
        <v>0</v>
      </c>
    </row>
    <row r="210" spans="1:13" s="203" customFormat="1" ht="13.5" outlineLevel="1" thickBot="1">
      <c r="A210" s="3" t="s">
        <v>95</v>
      </c>
      <c r="B210" s="3" t="s">
        <v>993</v>
      </c>
      <c r="C210" s="3" t="s">
        <v>1131</v>
      </c>
      <c r="D210" s="3" t="s">
        <v>802</v>
      </c>
      <c r="E210" s="218" t="s">
        <v>802</v>
      </c>
      <c r="F210" s="219"/>
      <c r="G210" s="220"/>
      <c r="H210" s="201"/>
      <c r="I210" s="201"/>
      <c r="J210" s="201"/>
    </row>
    <row r="211" spans="1:13" ht="13.5" outlineLevel="2" thickBot="1">
      <c r="A211" s="3" t="str">
        <f>B211&amp;C211&amp;D211</f>
        <v>O&amp;M Mobilization BudgetProcurement ExpensesLaboratory Equipment</v>
      </c>
      <c r="B211" s="3" t="s">
        <v>993</v>
      </c>
      <c r="C211" s="3" t="s">
        <v>1131</v>
      </c>
      <c r="D211" s="3" t="s">
        <v>802</v>
      </c>
      <c r="E211" s="204" t="s">
        <v>96</v>
      </c>
      <c r="F211" s="41"/>
      <c r="G211" s="205"/>
      <c r="H211" s="206">
        <v>3000</v>
      </c>
      <c r="I211" s="206">
        <f>H211</f>
        <v>3000</v>
      </c>
      <c r="J211" s="206">
        <f>H211-I211</f>
        <v>0</v>
      </c>
      <c r="L211" s="3"/>
      <c r="M211" s="3"/>
    </row>
    <row r="212" spans="1:13" ht="13.5" outlineLevel="2" thickBot="1">
      <c r="E212" s="204" t="s">
        <v>97</v>
      </c>
      <c r="F212" s="41"/>
      <c r="G212" s="205"/>
      <c r="H212" s="206">
        <v>0</v>
      </c>
      <c r="I212" s="206">
        <f>H212</f>
        <v>0</v>
      </c>
      <c r="J212" s="206">
        <f>H212-I212</f>
        <v>0</v>
      </c>
      <c r="L212" s="3"/>
      <c r="M212" s="3"/>
    </row>
    <row r="213" spans="1:13" ht="13.5" outlineLevel="2" thickBot="1">
      <c r="E213" s="204" t="s">
        <v>98</v>
      </c>
      <c r="F213" s="41"/>
      <c r="G213" s="205"/>
      <c r="H213" s="206">
        <v>1000</v>
      </c>
      <c r="I213" s="206">
        <f>H213</f>
        <v>1000</v>
      </c>
      <c r="J213" s="206">
        <f>H213-I213</f>
        <v>0</v>
      </c>
      <c r="L213" s="3"/>
      <c r="M213" s="3"/>
    </row>
    <row r="214" spans="1:13" ht="13.5" outlineLevel="2" thickBot="1">
      <c r="E214" s="204" t="s">
        <v>99</v>
      </c>
      <c r="F214" s="41" t="s">
        <v>100</v>
      </c>
      <c r="G214" s="205"/>
      <c r="H214" s="206"/>
      <c r="I214" s="206">
        <f>H214</f>
        <v>0</v>
      </c>
      <c r="J214" s="206">
        <f>H214-I214</f>
        <v>0</v>
      </c>
      <c r="L214" s="3"/>
      <c r="M214" s="3"/>
    </row>
    <row r="215" spans="1:13" ht="13.5" outlineLevel="2" thickBot="1">
      <c r="E215" s="204" t="s">
        <v>1115</v>
      </c>
      <c r="F215" s="41" t="s">
        <v>29</v>
      </c>
      <c r="G215" s="205"/>
      <c r="H215" s="206">
        <f>0.05*SUM(H211:H214)</f>
        <v>200</v>
      </c>
      <c r="I215" s="206">
        <f>H215</f>
        <v>200</v>
      </c>
      <c r="J215" s="206">
        <f>H215-I215</f>
        <v>0</v>
      </c>
      <c r="L215" s="3"/>
      <c r="M215" s="3"/>
    </row>
    <row r="216" spans="1:13" ht="13.5" outlineLevel="2" thickBot="1">
      <c r="E216" s="204"/>
      <c r="F216" s="41"/>
      <c r="G216" s="205"/>
      <c r="H216" s="206"/>
      <c r="I216" s="206"/>
      <c r="J216" s="206"/>
      <c r="L216" s="3"/>
      <c r="M216" s="3"/>
    </row>
    <row r="217" spans="1:13" s="203" customFormat="1" ht="13.5" outlineLevel="1" thickBot="1">
      <c r="A217" s="203" t="s">
        <v>101</v>
      </c>
      <c r="B217" s="203" t="s">
        <v>993</v>
      </c>
      <c r="C217" s="203" t="s">
        <v>1131</v>
      </c>
      <c r="D217" s="203" t="s">
        <v>802</v>
      </c>
      <c r="E217" s="204" t="s">
        <v>102</v>
      </c>
      <c r="F217" s="41"/>
      <c r="G217" s="207" t="s">
        <v>1005</v>
      </c>
      <c r="H217" s="208">
        <f>SUBTOTAL(9,H211:H216)</f>
        <v>4200</v>
      </c>
      <c r="I217" s="208">
        <f>SUBTOTAL(9,I211:I216)</f>
        <v>4200</v>
      </c>
      <c r="J217" s="208">
        <f>SUBTOTAL(9,J211:J216)</f>
        <v>0</v>
      </c>
    </row>
    <row r="218" spans="1:13" s="203" customFormat="1" ht="13.5" outlineLevel="1" thickBot="1">
      <c r="A218" s="3" t="s">
        <v>103</v>
      </c>
      <c r="B218" s="3" t="s">
        <v>993</v>
      </c>
      <c r="C218" s="3" t="s">
        <v>1131</v>
      </c>
      <c r="D218" s="3" t="s">
        <v>803</v>
      </c>
      <c r="E218" s="218" t="s">
        <v>803</v>
      </c>
      <c r="F218" s="219"/>
      <c r="G218" s="220"/>
      <c r="H218" s="201"/>
      <c r="I218" s="201"/>
      <c r="J218" s="201"/>
    </row>
    <row r="219" spans="1:13" ht="13.5" outlineLevel="2" thickBot="1">
      <c r="A219" s="3" t="str">
        <f>B219&amp;C219&amp;D219</f>
        <v>O&amp;M Mobilization BudgetProcurement ExpensesShop Tools &amp; Equipment</v>
      </c>
      <c r="B219" s="3" t="s">
        <v>993</v>
      </c>
      <c r="C219" s="3" t="s">
        <v>1131</v>
      </c>
      <c r="D219" s="3" t="s">
        <v>803</v>
      </c>
      <c r="E219" s="227" t="s">
        <v>104</v>
      </c>
      <c r="F219" s="228" t="s">
        <v>105</v>
      </c>
      <c r="G219" s="229" t="s">
        <v>106</v>
      </c>
      <c r="H219" s="230">
        <v>1200</v>
      </c>
      <c r="I219" s="206">
        <f t="shared" ref="I219:I265" si="18">H219</f>
        <v>1200</v>
      </c>
      <c r="J219" s="206">
        <f t="shared" ref="J219:J265" si="19">H219-I219</f>
        <v>0</v>
      </c>
      <c r="K219"/>
      <c r="L219"/>
      <c r="M219" s="3"/>
    </row>
    <row r="220" spans="1:13" ht="13.5" outlineLevel="2" thickBot="1">
      <c r="A220" s="3" t="str">
        <f>B220&amp;C220&amp;D220</f>
        <v>O&amp;M Mobilization BudgetProcurement ExpensesShop Tools &amp; Equipment</v>
      </c>
      <c r="B220" s="3" t="s">
        <v>993</v>
      </c>
      <c r="C220" s="3" t="s">
        <v>1131</v>
      </c>
      <c r="D220" s="3" t="s">
        <v>803</v>
      </c>
      <c r="E220" s="227" t="s">
        <v>107</v>
      </c>
      <c r="F220" s="228" t="s">
        <v>105</v>
      </c>
      <c r="G220" s="231" t="s">
        <v>108</v>
      </c>
      <c r="H220" s="230">
        <v>1500</v>
      </c>
      <c r="I220" s="206">
        <f t="shared" si="18"/>
        <v>1500</v>
      </c>
      <c r="J220" s="206">
        <f t="shared" si="19"/>
        <v>0</v>
      </c>
      <c r="K220"/>
      <c r="L220"/>
      <c r="M220" s="3"/>
    </row>
    <row r="221" spans="1:13" ht="13.5" outlineLevel="2" thickBot="1">
      <c r="A221" s="3" t="str">
        <f>B221&amp;C221&amp;D221</f>
        <v>O&amp;M Mobilization BudgetProcurement ExpensesShop Tools &amp; Equipment</v>
      </c>
      <c r="B221" s="3" t="s">
        <v>993</v>
      </c>
      <c r="C221" s="3" t="s">
        <v>1131</v>
      </c>
      <c r="D221" s="3" t="s">
        <v>803</v>
      </c>
      <c r="E221" s="227" t="s">
        <v>109</v>
      </c>
      <c r="F221" s="228"/>
      <c r="G221" s="232">
        <v>8000</v>
      </c>
      <c r="H221" s="230">
        <v>8000</v>
      </c>
      <c r="I221" s="206">
        <f t="shared" si="18"/>
        <v>8000</v>
      </c>
      <c r="J221" s="206">
        <f t="shared" si="19"/>
        <v>0</v>
      </c>
      <c r="K221"/>
      <c r="L221"/>
      <c r="M221" s="3"/>
    </row>
    <row r="222" spans="1:13" ht="13.5" outlineLevel="2" thickBot="1">
      <c r="A222" s="3" t="str">
        <f>B222&amp;C222&amp;D222</f>
        <v>O&amp;M Mobilization BudgetProcurement ExpensesShop Tools &amp; Equipment</v>
      </c>
      <c r="B222" s="3" t="s">
        <v>993</v>
      </c>
      <c r="C222" s="3" t="s">
        <v>1131</v>
      </c>
      <c r="D222" s="3" t="s">
        <v>803</v>
      </c>
      <c r="E222" s="227" t="s">
        <v>110</v>
      </c>
      <c r="F222" s="228"/>
      <c r="G222" s="229" t="s">
        <v>111</v>
      </c>
      <c r="H222" s="230">
        <v>4000</v>
      </c>
      <c r="I222" s="206">
        <f t="shared" si="18"/>
        <v>4000</v>
      </c>
      <c r="J222" s="206">
        <f t="shared" si="19"/>
        <v>0</v>
      </c>
      <c r="K222"/>
      <c r="L222"/>
      <c r="M222" s="3"/>
    </row>
    <row r="223" spans="1:13" ht="13.5" outlineLevel="2" thickBot="1">
      <c r="E223" s="227" t="s">
        <v>112</v>
      </c>
      <c r="F223" s="228"/>
      <c r="G223" s="229" t="s">
        <v>111</v>
      </c>
      <c r="H223" s="230">
        <v>1000</v>
      </c>
      <c r="I223" s="206">
        <f t="shared" si="18"/>
        <v>1000</v>
      </c>
      <c r="J223" s="206">
        <f t="shared" si="19"/>
        <v>0</v>
      </c>
      <c r="K223"/>
      <c r="L223"/>
      <c r="M223" s="3"/>
    </row>
    <row r="224" spans="1:13" ht="13.5" outlineLevel="2" thickBot="1">
      <c r="A224" s="3" t="str">
        <f>B224&amp;C224&amp;D224</f>
        <v>O&amp;M Mobilization BudgetProcurement ExpensesShop Tools &amp; Equipment</v>
      </c>
      <c r="B224" s="3" t="s">
        <v>993</v>
      </c>
      <c r="C224" s="3" t="s">
        <v>1131</v>
      </c>
      <c r="D224" s="3" t="s">
        <v>803</v>
      </c>
      <c r="E224" s="227" t="s">
        <v>113</v>
      </c>
      <c r="F224" s="233" t="s">
        <v>114</v>
      </c>
      <c r="G224" s="234" t="s">
        <v>106</v>
      </c>
      <c r="H224" s="230"/>
      <c r="I224" s="206">
        <f t="shared" si="18"/>
        <v>0</v>
      </c>
      <c r="J224" s="206">
        <f t="shared" si="19"/>
        <v>0</v>
      </c>
      <c r="K224"/>
      <c r="L224"/>
      <c r="M224" s="3"/>
    </row>
    <row r="225" spans="1:13" ht="13.5" outlineLevel="2" thickBot="1">
      <c r="A225" s="3" t="str">
        <f>B225&amp;C225&amp;D225</f>
        <v>O&amp;M Mobilization BudgetProcurement ExpensesShop Tools &amp; Equipment</v>
      </c>
      <c r="B225" s="3" t="s">
        <v>993</v>
      </c>
      <c r="C225" s="3" t="s">
        <v>1131</v>
      </c>
      <c r="D225" s="3" t="s">
        <v>803</v>
      </c>
      <c r="E225" s="227"/>
      <c r="F225" s="233" t="s">
        <v>115</v>
      </c>
      <c r="G225" s="234" t="s">
        <v>116</v>
      </c>
      <c r="H225" s="230"/>
      <c r="I225" s="206">
        <f t="shared" si="18"/>
        <v>0</v>
      </c>
      <c r="J225" s="206">
        <f t="shared" si="19"/>
        <v>0</v>
      </c>
      <c r="K225"/>
      <c r="L225"/>
      <c r="M225" s="3"/>
    </row>
    <row r="226" spans="1:13" ht="13.5" outlineLevel="2" thickBot="1">
      <c r="A226" s="3" t="str">
        <f>B226&amp;C226&amp;D226</f>
        <v>O&amp;M Mobilization BudgetProcurement ExpensesShop Tools &amp; Equipment</v>
      </c>
      <c r="B226" s="3" t="s">
        <v>993</v>
      </c>
      <c r="C226" s="3" t="s">
        <v>1131</v>
      </c>
      <c r="D226" s="3" t="s">
        <v>803</v>
      </c>
      <c r="E226" s="227"/>
      <c r="F226" s="233" t="s">
        <v>117</v>
      </c>
      <c r="G226" s="234" t="s">
        <v>118</v>
      </c>
      <c r="H226" s="230">
        <v>960</v>
      </c>
      <c r="I226" s="206">
        <f t="shared" si="18"/>
        <v>960</v>
      </c>
      <c r="J226" s="206">
        <f t="shared" si="19"/>
        <v>0</v>
      </c>
      <c r="K226"/>
      <c r="L226"/>
      <c r="M226" s="3"/>
    </row>
    <row r="227" spans="1:13" ht="13.5" outlineLevel="2" thickBot="1">
      <c r="E227" s="235"/>
      <c r="F227" s="236" t="s">
        <v>119</v>
      </c>
      <c r="G227" s="237" t="s">
        <v>120</v>
      </c>
      <c r="H227" s="230"/>
      <c r="I227" s="206">
        <f t="shared" si="18"/>
        <v>0</v>
      </c>
      <c r="J227" s="206">
        <f t="shared" si="19"/>
        <v>0</v>
      </c>
      <c r="K227"/>
      <c r="L227"/>
      <c r="M227" s="3"/>
    </row>
    <row r="228" spans="1:13" ht="13.5" outlineLevel="2" thickBot="1">
      <c r="E228" s="238"/>
      <c r="F228" s="236" t="s">
        <v>121</v>
      </c>
      <c r="G228" s="237" t="s">
        <v>122</v>
      </c>
      <c r="H228" s="230">
        <v>0</v>
      </c>
      <c r="I228" s="206">
        <f t="shared" si="18"/>
        <v>0</v>
      </c>
      <c r="J228" s="206">
        <f t="shared" si="19"/>
        <v>0</v>
      </c>
      <c r="K228"/>
      <c r="L228"/>
      <c r="M228" s="3"/>
    </row>
    <row r="229" spans="1:13" ht="13.5" outlineLevel="2" thickBot="1">
      <c r="E229" s="238"/>
      <c r="F229" s="236" t="s">
        <v>123</v>
      </c>
      <c r="G229" s="237" t="s">
        <v>111</v>
      </c>
      <c r="H229" s="230">
        <v>0</v>
      </c>
      <c r="I229" s="206">
        <f t="shared" si="18"/>
        <v>0</v>
      </c>
      <c r="J229" s="206">
        <f t="shared" si="19"/>
        <v>0</v>
      </c>
      <c r="K229"/>
      <c r="L229"/>
      <c r="M229" s="3"/>
    </row>
    <row r="230" spans="1:13" ht="13.5" outlineLevel="2" thickBot="1">
      <c r="E230" s="227"/>
      <c r="F230" s="236" t="s">
        <v>124</v>
      </c>
      <c r="G230" s="237" t="s">
        <v>125</v>
      </c>
      <c r="H230" s="230"/>
      <c r="I230" s="206">
        <f t="shared" si="18"/>
        <v>0</v>
      </c>
      <c r="J230" s="206">
        <f t="shared" si="19"/>
        <v>0</v>
      </c>
      <c r="K230"/>
      <c r="L230"/>
      <c r="M230" s="3"/>
    </row>
    <row r="231" spans="1:13" ht="13.5" outlineLevel="2" thickBot="1">
      <c r="A231" s="3" t="str">
        <f>B231&amp;C231&amp;D231</f>
        <v>O&amp;M Mobilization BudgetProcurement ExpensesShop Tools &amp; Equipment</v>
      </c>
      <c r="B231" s="3" t="s">
        <v>993</v>
      </c>
      <c r="C231" s="3" t="s">
        <v>1131</v>
      </c>
      <c r="D231" s="3" t="s">
        <v>803</v>
      </c>
      <c r="E231" s="227"/>
      <c r="F231" s="236" t="s">
        <v>126</v>
      </c>
      <c r="G231" s="237" t="s">
        <v>127</v>
      </c>
      <c r="H231" s="230">
        <v>900</v>
      </c>
      <c r="I231" s="206">
        <f t="shared" si="18"/>
        <v>900</v>
      </c>
      <c r="J231" s="206">
        <f t="shared" si="19"/>
        <v>0</v>
      </c>
      <c r="K231"/>
      <c r="L231"/>
      <c r="M231" s="3"/>
    </row>
    <row r="232" spans="1:13" ht="13.5" outlineLevel="2" thickBot="1">
      <c r="E232" s="227"/>
      <c r="F232" s="236" t="s">
        <v>128</v>
      </c>
      <c r="G232" s="237" t="s">
        <v>129</v>
      </c>
      <c r="H232" s="230">
        <v>600</v>
      </c>
      <c r="I232" s="206">
        <f t="shared" si="18"/>
        <v>600</v>
      </c>
      <c r="J232" s="206">
        <f t="shared" si="19"/>
        <v>0</v>
      </c>
      <c r="K232"/>
      <c r="L232"/>
      <c r="M232" s="3"/>
    </row>
    <row r="233" spans="1:13" ht="13.5" outlineLevel="2" thickBot="1">
      <c r="E233" s="238"/>
      <c r="F233" s="236" t="s">
        <v>130</v>
      </c>
      <c r="G233" s="237" t="s">
        <v>131</v>
      </c>
      <c r="H233" s="230">
        <v>1400</v>
      </c>
      <c r="I233" s="206">
        <f t="shared" si="18"/>
        <v>1400</v>
      </c>
      <c r="J233" s="206">
        <f t="shared" si="19"/>
        <v>0</v>
      </c>
      <c r="K233"/>
      <c r="L233"/>
      <c r="M233" s="3"/>
    </row>
    <row r="234" spans="1:13" s="203" customFormat="1" ht="13.5" outlineLevel="1" thickBot="1">
      <c r="A234" s="203" t="s">
        <v>132</v>
      </c>
      <c r="B234" s="203" t="s">
        <v>993</v>
      </c>
      <c r="C234" s="203" t="s">
        <v>1131</v>
      </c>
      <c r="D234" s="203" t="s">
        <v>803</v>
      </c>
      <c r="E234" s="238"/>
      <c r="F234" s="236" t="s">
        <v>133</v>
      </c>
      <c r="G234" s="237" t="s">
        <v>106</v>
      </c>
      <c r="H234" s="230"/>
      <c r="I234" s="206">
        <f t="shared" si="18"/>
        <v>0</v>
      </c>
      <c r="J234" s="206">
        <f t="shared" si="19"/>
        <v>0</v>
      </c>
      <c r="K234"/>
      <c r="L234"/>
    </row>
    <row r="235" spans="1:13" s="203" customFormat="1" ht="13.5" outlineLevel="1" thickBot="1">
      <c r="A235" s="3" t="s">
        <v>134</v>
      </c>
      <c r="B235" s="3" t="s">
        <v>993</v>
      </c>
      <c r="C235" s="3" t="s">
        <v>1131</v>
      </c>
      <c r="D235" s="3" t="s">
        <v>804</v>
      </c>
      <c r="E235" s="238"/>
      <c r="F235" s="236" t="s">
        <v>135</v>
      </c>
      <c r="G235" s="237" t="s">
        <v>136</v>
      </c>
      <c r="H235" s="230">
        <v>160</v>
      </c>
      <c r="I235" s="206">
        <f t="shared" si="18"/>
        <v>160</v>
      </c>
      <c r="J235" s="206">
        <f t="shared" si="19"/>
        <v>0</v>
      </c>
      <c r="K235"/>
      <c r="L235"/>
    </row>
    <row r="236" spans="1:13" ht="13.5" outlineLevel="2" thickBot="1">
      <c r="A236" s="3" t="str">
        <f>B236&amp;C236&amp;D236</f>
        <v>O&amp;M Mobilization BudgetProcurement ExpensesChemicals, Lubricants, Hydraulic Fluids</v>
      </c>
      <c r="B236" s="3" t="s">
        <v>993</v>
      </c>
      <c r="C236" s="3" t="s">
        <v>1131</v>
      </c>
      <c r="D236" s="3" t="s">
        <v>804</v>
      </c>
      <c r="E236" s="238"/>
      <c r="F236" s="236" t="s">
        <v>616</v>
      </c>
      <c r="G236" s="237" t="s">
        <v>137</v>
      </c>
      <c r="H236" s="230">
        <f>250*8</f>
        <v>2000</v>
      </c>
      <c r="I236" s="206">
        <f t="shared" si="18"/>
        <v>2000</v>
      </c>
      <c r="J236" s="206">
        <f t="shared" si="19"/>
        <v>0</v>
      </c>
      <c r="K236"/>
      <c r="L236"/>
      <c r="M236" s="3"/>
    </row>
    <row r="237" spans="1:13" ht="13.5" outlineLevel="2" thickBot="1">
      <c r="A237" s="3" t="str">
        <f>B237&amp;C237&amp;D237</f>
        <v>O&amp;M Mobilization BudgetProcurement ExpensesChemicals, Lubricants, Hydraulic Fluids</v>
      </c>
      <c r="B237" s="3" t="s">
        <v>993</v>
      </c>
      <c r="C237" s="3" t="s">
        <v>1131</v>
      </c>
      <c r="D237" s="3" t="s">
        <v>804</v>
      </c>
      <c r="E237" s="227"/>
      <c r="F237" s="236" t="s">
        <v>138</v>
      </c>
      <c r="G237" s="237" t="s">
        <v>139</v>
      </c>
      <c r="H237" s="230">
        <v>600</v>
      </c>
      <c r="I237" s="206">
        <f t="shared" si="18"/>
        <v>600</v>
      </c>
      <c r="J237" s="206">
        <f t="shared" si="19"/>
        <v>0</v>
      </c>
      <c r="K237"/>
      <c r="L237"/>
      <c r="M237" s="3"/>
    </row>
    <row r="238" spans="1:13" ht="13.5" outlineLevel="2" thickBot="1">
      <c r="E238" s="227"/>
      <c r="F238" s="236" t="s">
        <v>140</v>
      </c>
      <c r="G238" s="237" t="s">
        <v>111</v>
      </c>
      <c r="H238" s="230">
        <v>1000</v>
      </c>
      <c r="I238" s="206">
        <f t="shared" si="18"/>
        <v>1000</v>
      </c>
      <c r="J238" s="206">
        <f t="shared" si="19"/>
        <v>0</v>
      </c>
      <c r="K238"/>
      <c r="L238"/>
      <c r="M238" s="3"/>
    </row>
    <row r="239" spans="1:13" ht="13.5" outlineLevel="2" thickBot="1">
      <c r="E239" s="227"/>
      <c r="F239" s="236" t="s">
        <v>141</v>
      </c>
      <c r="G239" s="237" t="s">
        <v>142</v>
      </c>
      <c r="H239" s="230">
        <v>400</v>
      </c>
      <c r="I239" s="206">
        <f t="shared" si="18"/>
        <v>400</v>
      </c>
      <c r="J239" s="206">
        <f t="shared" si="19"/>
        <v>0</v>
      </c>
      <c r="K239"/>
      <c r="L239"/>
      <c r="M239" s="3"/>
    </row>
    <row r="240" spans="1:13" s="203" customFormat="1" ht="13.5" outlineLevel="1" thickBot="1">
      <c r="A240" s="203" t="s">
        <v>143</v>
      </c>
      <c r="B240" s="203" t="s">
        <v>993</v>
      </c>
      <c r="C240" s="203" t="s">
        <v>1131</v>
      </c>
      <c r="D240" s="203" t="s">
        <v>804</v>
      </c>
      <c r="E240" s="227"/>
      <c r="F240" s="236" t="s">
        <v>144</v>
      </c>
      <c r="G240" s="237" t="s">
        <v>145</v>
      </c>
      <c r="H240" s="230">
        <v>2375</v>
      </c>
      <c r="I240" s="206">
        <f t="shared" si="18"/>
        <v>2375</v>
      </c>
      <c r="J240" s="206">
        <f t="shared" si="19"/>
        <v>0</v>
      </c>
      <c r="K240"/>
      <c r="L240"/>
    </row>
    <row r="241" spans="1:13" s="203" customFormat="1" ht="13.5" outlineLevel="1" thickBot="1">
      <c r="A241" s="3" t="s">
        <v>146</v>
      </c>
      <c r="B241" s="3" t="s">
        <v>993</v>
      </c>
      <c r="C241" s="3" t="s">
        <v>147</v>
      </c>
      <c r="D241" s="3"/>
      <c r="E241" s="227"/>
      <c r="F241" s="236" t="s">
        <v>148</v>
      </c>
      <c r="G241" s="237" t="s">
        <v>149</v>
      </c>
      <c r="H241" s="230">
        <v>3100</v>
      </c>
      <c r="I241" s="206">
        <f t="shared" si="18"/>
        <v>3100</v>
      </c>
      <c r="J241" s="206">
        <f t="shared" si="19"/>
        <v>0</v>
      </c>
      <c r="K241"/>
      <c r="L241"/>
    </row>
    <row r="242" spans="1:13" ht="13.5" outlineLevel="2" thickBot="1">
      <c r="A242" s="3" t="str">
        <f>B242&amp;C242&amp;D242</f>
        <v>O&amp;M Mobilization BudgetO&amp;M Mobilization Fee</v>
      </c>
      <c r="B242" s="3" t="s">
        <v>993</v>
      </c>
      <c r="C242" s="3" t="s">
        <v>147</v>
      </c>
      <c r="E242" s="227"/>
      <c r="F242" s="236" t="s">
        <v>150</v>
      </c>
      <c r="G242" s="237" t="s">
        <v>151</v>
      </c>
      <c r="H242" s="230"/>
      <c r="I242" s="206">
        <f t="shared" si="18"/>
        <v>0</v>
      </c>
      <c r="J242" s="206">
        <f t="shared" si="19"/>
        <v>0</v>
      </c>
      <c r="K242"/>
      <c r="L242"/>
      <c r="M242" s="3"/>
    </row>
    <row r="243" spans="1:13" ht="13.5" outlineLevel="2" thickBot="1">
      <c r="E243" s="227"/>
      <c r="F243" s="236" t="s">
        <v>152</v>
      </c>
      <c r="G243" s="237" t="s">
        <v>137</v>
      </c>
      <c r="H243" s="230">
        <v>250</v>
      </c>
      <c r="I243" s="206">
        <f t="shared" si="18"/>
        <v>250</v>
      </c>
      <c r="J243" s="206">
        <f t="shared" si="19"/>
        <v>0</v>
      </c>
      <c r="K243"/>
      <c r="L243"/>
      <c r="M243" s="3"/>
    </row>
    <row r="244" spans="1:13" ht="13.5" outlineLevel="2" thickBot="1">
      <c r="E244" s="227"/>
      <c r="F244" s="236" t="s">
        <v>153</v>
      </c>
      <c r="G244" s="237" t="s">
        <v>111</v>
      </c>
      <c r="H244" s="230">
        <v>1000</v>
      </c>
      <c r="I244" s="206">
        <f t="shared" si="18"/>
        <v>1000</v>
      </c>
      <c r="J244" s="206">
        <f t="shared" si="19"/>
        <v>0</v>
      </c>
      <c r="K244"/>
      <c r="L244"/>
      <c r="M244" s="3"/>
    </row>
    <row r="245" spans="1:13" ht="13.5" outlineLevel="2" thickBot="1">
      <c r="E245" s="227"/>
      <c r="F245" s="236" t="s">
        <v>154</v>
      </c>
      <c r="G245" s="237" t="s">
        <v>155</v>
      </c>
      <c r="H245" s="230">
        <v>5000</v>
      </c>
      <c r="I245" s="206">
        <f t="shared" si="18"/>
        <v>5000</v>
      </c>
      <c r="J245" s="206">
        <f t="shared" si="19"/>
        <v>0</v>
      </c>
      <c r="K245"/>
      <c r="L245"/>
      <c r="M245" s="3"/>
    </row>
    <row r="246" spans="1:13" s="203" customFormat="1" ht="13.5" outlineLevel="1" thickBot="1">
      <c r="A246" s="203" t="s">
        <v>156</v>
      </c>
      <c r="B246" s="203" t="s">
        <v>993</v>
      </c>
      <c r="C246" s="203" t="s">
        <v>147</v>
      </c>
      <c r="E246" s="227" t="s">
        <v>157</v>
      </c>
      <c r="F246" s="236" t="s">
        <v>158</v>
      </c>
      <c r="G246" s="237" t="s">
        <v>159</v>
      </c>
      <c r="H246" s="230">
        <v>0</v>
      </c>
      <c r="I246" s="206">
        <f t="shared" si="18"/>
        <v>0</v>
      </c>
      <c r="J246" s="206">
        <f t="shared" si="19"/>
        <v>0</v>
      </c>
      <c r="K246"/>
      <c r="L246"/>
    </row>
    <row r="247" spans="1:13" s="203" customFormat="1" ht="13.5" outlineLevel="1" thickBot="1">
      <c r="A247" s="3" t="s">
        <v>160</v>
      </c>
      <c r="B247" s="3" t="s">
        <v>993</v>
      </c>
      <c r="C247" s="3" t="s">
        <v>161</v>
      </c>
      <c r="D247" s="3"/>
      <c r="E247" s="227"/>
      <c r="F247" s="236" t="s">
        <v>162</v>
      </c>
      <c r="G247" s="237" t="s">
        <v>155</v>
      </c>
      <c r="H247" s="230">
        <v>0</v>
      </c>
      <c r="I247" s="206">
        <f t="shared" si="18"/>
        <v>0</v>
      </c>
      <c r="J247" s="206">
        <f t="shared" si="19"/>
        <v>0</v>
      </c>
      <c r="K247"/>
      <c r="L247"/>
    </row>
    <row r="248" spans="1:13" ht="13.5" outlineLevel="2" thickBot="1">
      <c r="A248" s="3" t="str">
        <f>B248&amp;C248&amp;D248</f>
        <v>O&amp;M Mobilization BudgetOwner Optional Items</v>
      </c>
      <c r="B248" s="3" t="s">
        <v>993</v>
      </c>
      <c r="C248" s="3" t="s">
        <v>161</v>
      </c>
      <c r="E248" s="227"/>
      <c r="F248" s="236" t="s">
        <v>163</v>
      </c>
      <c r="G248" s="237" t="s">
        <v>125</v>
      </c>
      <c r="H248" s="230">
        <v>0</v>
      </c>
      <c r="I248" s="206">
        <f t="shared" si="18"/>
        <v>0</v>
      </c>
      <c r="J248" s="206">
        <f t="shared" si="19"/>
        <v>0</v>
      </c>
      <c r="K248"/>
      <c r="L248"/>
      <c r="M248" s="3"/>
    </row>
    <row r="249" spans="1:13" ht="13.5" outlineLevel="2" thickBot="1">
      <c r="E249" s="227"/>
      <c r="F249" s="236" t="s">
        <v>164</v>
      </c>
      <c r="G249" s="237" t="s">
        <v>120</v>
      </c>
      <c r="H249" s="230"/>
      <c r="I249" s="206">
        <f t="shared" si="18"/>
        <v>0</v>
      </c>
      <c r="J249" s="206">
        <f t="shared" si="19"/>
        <v>0</v>
      </c>
      <c r="K249"/>
      <c r="L249"/>
      <c r="M249" s="3"/>
    </row>
    <row r="250" spans="1:13" ht="13.5" outlineLevel="2" thickBot="1">
      <c r="E250" s="227"/>
      <c r="F250" s="236" t="s">
        <v>165</v>
      </c>
      <c r="G250" s="237" t="s">
        <v>166</v>
      </c>
      <c r="H250" s="230"/>
      <c r="I250" s="206">
        <f t="shared" si="18"/>
        <v>0</v>
      </c>
      <c r="J250" s="206">
        <f t="shared" si="19"/>
        <v>0</v>
      </c>
      <c r="K250"/>
      <c r="L250"/>
      <c r="M250" s="3"/>
    </row>
    <row r="251" spans="1:13" ht="13.5" outlineLevel="2" thickBot="1">
      <c r="E251" s="227"/>
      <c r="F251" s="236" t="s">
        <v>167</v>
      </c>
      <c r="G251" s="237" t="s">
        <v>168</v>
      </c>
      <c r="H251" s="230">
        <v>0</v>
      </c>
      <c r="I251" s="206">
        <f t="shared" si="18"/>
        <v>0</v>
      </c>
      <c r="J251" s="206">
        <f t="shared" si="19"/>
        <v>0</v>
      </c>
      <c r="K251"/>
      <c r="L251"/>
      <c r="M251" s="3"/>
    </row>
    <row r="252" spans="1:13" s="203" customFormat="1" ht="13.5" outlineLevel="1" thickBot="1">
      <c r="A252" s="203" t="s">
        <v>169</v>
      </c>
      <c r="B252" s="203" t="s">
        <v>993</v>
      </c>
      <c r="C252" s="203" t="s">
        <v>161</v>
      </c>
      <c r="E252" s="227"/>
      <c r="F252" s="236" t="s">
        <v>170</v>
      </c>
      <c r="G252" s="237" t="s">
        <v>171</v>
      </c>
      <c r="H252" s="230">
        <v>0</v>
      </c>
      <c r="I252" s="206">
        <f t="shared" si="18"/>
        <v>0</v>
      </c>
      <c r="J252" s="206">
        <f t="shared" si="19"/>
        <v>0</v>
      </c>
      <c r="K252"/>
      <c r="L252"/>
    </row>
    <row r="253" spans="1:13" s="203" customFormat="1" ht="13.5" outlineLevel="1" thickBot="1">
      <c r="E253" s="227"/>
      <c r="F253" s="236" t="s">
        <v>172</v>
      </c>
      <c r="G253" s="237" t="s">
        <v>173</v>
      </c>
      <c r="H253" s="230">
        <v>0</v>
      </c>
      <c r="I253" s="206">
        <f t="shared" si="18"/>
        <v>0</v>
      </c>
      <c r="J253" s="206">
        <f t="shared" si="19"/>
        <v>0</v>
      </c>
      <c r="K253"/>
      <c r="L253"/>
    </row>
    <row r="254" spans="1:13" s="203" customFormat="1" ht="13.5" outlineLevel="1" thickBot="1">
      <c r="E254" s="227"/>
      <c r="F254" s="236" t="s">
        <v>174</v>
      </c>
      <c r="G254" s="237" t="s">
        <v>139</v>
      </c>
      <c r="H254" s="230"/>
      <c r="I254" s="206">
        <f t="shared" si="18"/>
        <v>0</v>
      </c>
      <c r="J254" s="206">
        <f t="shared" si="19"/>
        <v>0</v>
      </c>
      <c r="K254"/>
      <c r="L254"/>
    </row>
    <row r="255" spans="1:13" s="203" customFormat="1" ht="13.5" outlineLevel="1" thickBot="1">
      <c r="E255" s="227"/>
      <c r="F255" s="236" t="s">
        <v>175</v>
      </c>
      <c r="G255" s="237" t="s">
        <v>176</v>
      </c>
      <c r="H255" s="230">
        <v>0</v>
      </c>
      <c r="I255" s="206">
        <f t="shared" si="18"/>
        <v>0</v>
      </c>
      <c r="J255" s="206">
        <f t="shared" si="19"/>
        <v>0</v>
      </c>
      <c r="K255"/>
      <c r="L255"/>
    </row>
    <row r="256" spans="1:13" s="203" customFormat="1" ht="13.5" outlineLevel="1" thickBot="1">
      <c r="E256" s="227"/>
      <c r="F256" s="236" t="s">
        <v>177</v>
      </c>
      <c r="G256" s="237" t="s">
        <v>178</v>
      </c>
      <c r="H256" s="230">
        <v>0</v>
      </c>
      <c r="I256" s="206">
        <f t="shared" si="18"/>
        <v>0</v>
      </c>
      <c r="J256" s="206">
        <f t="shared" si="19"/>
        <v>0</v>
      </c>
      <c r="K256"/>
      <c r="L256"/>
    </row>
    <row r="257" spans="1:13" s="203" customFormat="1" ht="13.5" outlineLevel="1" thickBot="1">
      <c r="E257" s="227"/>
      <c r="F257" s="236" t="s">
        <v>179</v>
      </c>
      <c r="G257" s="237" t="s">
        <v>180</v>
      </c>
      <c r="H257" s="230"/>
      <c r="I257" s="206">
        <f t="shared" si="18"/>
        <v>0</v>
      </c>
      <c r="J257" s="206">
        <f t="shared" si="19"/>
        <v>0</v>
      </c>
      <c r="K257"/>
      <c r="L257"/>
    </row>
    <row r="258" spans="1:13" s="203" customFormat="1" ht="13.5" outlineLevel="1" thickBot="1">
      <c r="E258" s="238"/>
      <c r="F258" s="236" t="s">
        <v>181</v>
      </c>
      <c r="G258" s="237" t="s">
        <v>182</v>
      </c>
      <c r="H258" s="230">
        <v>0</v>
      </c>
      <c r="I258" s="206">
        <f t="shared" si="18"/>
        <v>0</v>
      </c>
      <c r="J258" s="206">
        <f t="shared" si="19"/>
        <v>0</v>
      </c>
      <c r="K258"/>
      <c r="L258"/>
    </row>
    <row r="259" spans="1:13" s="203" customFormat="1" ht="13.5" outlineLevel="1" thickBot="1">
      <c r="E259" s="238"/>
      <c r="F259" s="236" t="s">
        <v>183</v>
      </c>
      <c r="G259" s="237" t="s">
        <v>184</v>
      </c>
      <c r="H259" s="230"/>
      <c r="I259" s="206">
        <f t="shared" si="18"/>
        <v>0</v>
      </c>
      <c r="J259" s="206">
        <f t="shared" si="19"/>
        <v>0</v>
      </c>
      <c r="K259"/>
      <c r="L259"/>
    </row>
    <row r="260" spans="1:13" s="203" customFormat="1" ht="13.5" outlineLevel="1" thickBot="1">
      <c r="E260" s="227" t="s">
        <v>185</v>
      </c>
      <c r="F260" s="236" t="s">
        <v>186</v>
      </c>
      <c r="G260" s="237" t="s">
        <v>187</v>
      </c>
      <c r="H260" s="230"/>
      <c r="I260" s="206">
        <f t="shared" si="18"/>
        <v>0</v>
      </c>
      <c r="J260" s="206">
        <f t="shared" si="19"/>
        <v>0</v>
      </c>
      <c r="K260"/>
      <c r="L260"/>
    </row>
    <row r="261" spans="1:13" s="203" customFormat="1" ht="13.5" outlineLevel="1" thickBot="1">
      <c r="A261" s="3" t="s">
        <v>188</v>
      </c>
      <c r="B261" s="3" t="s">
        <v>993</v>
      </c>
      <c r="C261" s="3" t="s">
        <v>189</v>
      </c>
      <c r="D261" s="3"/>
      <c r="E261" s="227"/>
      <c r="F261" s="236" t="s">
        <v>190</v>
      </c>
      <c r="G261" s="237" t="s">
        <v>191</v>
      </c>
      <c r="H261" s="230"/>
      <c r="I261" s="206">
        <f t="shared" si="18"/>
        <v>0</v>
      </c>
      <c r="J261" s="206">
        <f t="shared" si="19"/>
        <v>0</v>
      </c>
      <c r="K261"/>
      <c r="L261"/>
    </row>
    <row r="262" spans="1:13" ht="13.5" outlineLevel="2" thickBot="1">
      <c r="A262" s="3" t="str">
        <f>B262&amp;C262&amp;D262</f>
        <v>O&amp;M Mobilization BudgetCapital, Operating and BOP Spares (1998$)</v>
      </c>
      <c r="B262" s="3" t="s">
        <v>993</v>
      </c>
      <c r="C262" s="3" t="s">
        <v>192</v>
      </c>
      <c r="E262" s="227"/>
      <c r="F262" s="236" t="s">
        <v>193</v>
      </c>
      <c r="G262" s="237" t="s">
        <v>194</v>
      </c>
      <c r="H262" s="230"/>
      <c r="I262" s="206">
        <f t="shared" si="18"/>
        <v>0</v>
      </c>
      <c r="J262" s="206">
        <f t="shared" si="19"/>
        <v>0</v>
      </c>
      <c r="K262"/>
      <c r="L262"/>
      <c r="M262" s="3"/>
    </row>
    <row r="263" spans="1:13" ht="13.5" outlineLevel="2" thickBot="1">
      <c r="E263" s="227"/>
      <c r="F263" s="236" t="s">
        <v>195</v>
      </c>
      <c r="G263" s="237" t="s">
        <v>196</v>
      </c>
      <c r="H263" s="230">
        <v>0</v>
      </c>
      <c r="I263" s="206">
        <f t="shared" si="18"/>
        <v>0</v>
      </c>
      <c r="J263" s="206">
        <f t="shared" si="19"/>
        <v>0</v>
      </c>
      <c r="K263"/>
      <c r="L263"/>
      <c r="M263" s="3"/>
    </row>
    <row r="264" spans="1:13" ht="13.5" outlineLevel="2" thickBot="1">
      <c r="E264" s="227"/>
      <c r="F264" s="228"/>
      <c r="G264" s="229"/>
      <c r="H264" s="230"/>
      <c r="I264" s="206">
        <f t="shared" si="18"/>
        <v>0</v>
      </c>
      <c r="J264" s="206">
        <f t="shared" si="19"/>
        <v>0</v>
      </c>
      <c r="K264"/>
      <c r="L264"/>
      <c r="M264" s="3"/>
    </row>
    <row r="265" spans="1:13" ht="13.5" outlineLevel="2" thickBot="1">
      <c r="E265" s="227" t="s">
        <v>1115</v>
      </c>
      <c r="F265" s="239">
        <v>0.05</v>
      </c>
      <c r="G265" s="229"/>
      <c r="H265" s="230">
        <f>0.05*SUM(H219:H264)</f>
        <v>1772.25</v>
      </c>
      <c r="I265" s="206">
        <f t="shared" si="18"/>
        <v>1772.25</v>
      </c>
      <c r="J265" s="206">
        <f t="shared" si="19"/>
        <v>0</v>
      </c>
      <c r="K265"/>
      <c r="L265"/>
      <c r="M265" s="3"/>
    </row>
    <row r="266" spans="1:13" s="203" customFormat="1" ht="13.5" outlineLevel="1" thickBot="1">
      <c r="A266" s="203" t="s">
        <v>197</v>
      </c>
      <c r="B266" s="203" t="s">
        <v>993</v>
      </c>
      <c r="C266" s="203" t="s">
        <v>192</v>
      </c>
      <c r="E266" s="227"/>
      <c r="F266" s="228"/>
      <c r="G266" s="229"/>
      <c r="H266" s="230"/>
      <c r="I266" s="230"/>
      <c r="J266" s="230"/>
      <c r="K266"/>
      <c r="L266"/>
    </row>
    <row r="267" spans="1:13" s="203" customFormat="1" ht="13.5" thickBot="1">
      <c r="E267" s="240"/>
      <c r="F267" s="241"/>
      <c r="G267" s="242" t="s">
        <v>1005</v>
      </c>
      <c r="H267" s="243">
        <f>SUBTOTAL(9,H219:H266)</f>
        <v>37217.25</v>
      </c>
      <c r="I267" s="243">
        <f>SUBTOTAL(9,I219:I266)</f>
        <v>37217.25</v>
      </c>
      <c r="J267" s="243"/>
      <c r="K267"/>
      <c r="L267"/>
    </row>
    <row r="268" spans="1:13" ht="13.5" thickBot="1">
      <c r="E268" s="218" t="s">
        <v>804</v>
      </c>
      <c r="F268" s="219"/>
      <c r="G268" s="220"/>
      <c r="H268" s="201"/>
      <c r="I268" s="201"/>
      <c r="J268" s="201"/>
      <c r="K268" s="203"/>
    </row>
    <row r="269" spans="1:13" ht="13.5" thickBot="1">
      <c r="E269" s="204" t="s">
        <v>198</v>
      </c>
      <c r="F269" s="41" t="s">
        <v>199</v>
      </c>
      <c r="G269" s="205"/>
      <c r="H269" s="206">
        <v>10000</v>
      </c>
      <c r="I269" s="206">
        <f>H269</f>
        <v>10000</v>
      </c>
      <c r="J269" s="206">
        <f>H269-I269</f>
        <v>0</v>
      </c>
    </row>
    <row r="270" spans="1:13" ht="13.5" thickBot="1">
      <c r="E270" s="204"/>
      <c r="F270" s="41"/>
      <c r="G270" s="205"/>
      <c r="H270" s="206"/>
      <c r="I270" s="206">
        <f>H270</f>
        <v>0</v>
      </c>
      <c r="J270" s="206">
        <f>H270-I270</f>
        <v>0</v>
      </c>
    </row>
    <row r="271" spans="1:13" ht="13.5" thickBot="1">
      <c r="E271" s="204" t="s">
        <v>1115</v>
      </c>
      <c r="F271" s="41" t="s">
        <v>200</v>
      </c>
      <c r="G271" s="205"/>
      <c r="H271" s="206">
        <f>0.05*H269</f>
        <v>500</v>
      </c>
      <c r="I271" s="206">
        <f>H271</f>
        <v>500</v>
      </c>
      <c r="J271" s="206">
        <f>H271-I271</f>
        <v>0</v>
      </c>
    </row>
    <row r="272" spans="1:13" ht="13.5" thickBot="1">
      <c r="E272" s="204"/>
      <c r="F272" s="41"/>
      <c r="G272" s="205"/>
      <c r="H272" s="206"/>
      <c r="I272" s="206"/>
      <c r="J272" s="206"/>
    </row>
    <row r="273" spans="5:11" ht="13.5" thickBot="1">
      <c r="E273" s="204"/>
      <c r="F273" s="41"/>
      <c r="G273" s="207" t="s">
        <v>1005</v>
      </c>
      <c r="H273" s="208">
        <f>SUBTOTAL(9,H269:H272)</f>
        <v>10500</v>
      </c>
      <c r="I273" s="208">
        <f>SUBTOTAL(9,I269:I272)</f>
        <v>10500</v>
      </c>
      <c r="J273" s="208">
        <f>SUBTOTAL(9,J269:J272)</f>
        <v>0</v>
      </c>
      <c r="K273" s="203"/>
    </row>
    <row r="274" spans="5:11" ht="13.5" thickBot="1">
      <c r="E274" s="218" t="s">
        <v>147</v>
      </c>
      <c r="F274" s="219"/>
      <c r="G274" s="220"/>
      <c r="H274" s="201"/>
      <c r="I274" s="201"/>
      <c r="J274" s="201"/>
      <c r="K274" s="203"/>
    </row>
    <row r="275" spans="5:11" ht="13.5" thickBot="1">
      <c r="E275" s="204" t="s">
        <v>201</v>
      </c>
      <c r="F275" s="41"/>
      <c r="G275" s="205"/>
      <c r="H275" s="206">
        <v>160000</v>
      </c>
      <c r="I275" s="206">
        <f>H275</f>
        <v>160000</v>
      </c>
      <c r="J275" s="206">
        <f>H275-I275</f>
        <v>0</v>
      </c>
    </row>
    <row r="276" spans="5:11" ht="13.5" thickBot="1">
      <c r="E276" s="204"/>
      <c r="F276" s="41"/>
      <c r="G276" s="205"/>
      <c r="H276" s="206"/>
      <c r="I276" s="206">
        <f>H276</f>
        <v>0</v>
      </c>
      <c r="J276" s="206">
        <f>H276-I276</f>
        <v>0</v>
      </c>
    </row>
    <row r="277" spans="5:11" ht="13.5" thickBot="1">
      <c r="E277" s="204"/>
      <c r="F277" s="41"/>
      <c r="G277" s="205"/>
      <c r="H277" s="206"/>
      <c r="I277" s="206">
        <f>H277</f>
        <v>0</v>
      </c>
      <c r="J277" s="206">
        <f>H277-I277</f>
        <v>0</v>
      </c>
    </row>
    <row r="278" spans="5:11" ht="13.5" thickBot="1">
      <c r="E278" s="204"/>
      <c r="F278" s="41"/>
      <c r="G278" s="205"/>
      <c r="H278" s="206"/>
      <c r="I278" s="206"/>
      <c r="J278" s="206"/>
    </row>
    <row r="279" spans="5:11" ht="13.5" thickBot="1">
      <c r="E279" s="244"/>
      <c r="F279" s="245"/>
      <c r="G279" s="207" t="s">
        <v>1005</v>
      </c>
      <c r="H279" s="208">
        <f>SUBTOTAL(9,H275:H277)</f>
        <v>160000</v>
      </c>
      <c r="I279" s="208">
        <f>SUBTOTAL(9,I275:I275)</f>
        <v>160000</v>
      </c>
      <c r="J279" s="208">
        <f>SUBTOTAL(9,J275:J275)</f>
        <v>0</v>
      </c>
      <c r="K279" s="203"/>
    </row>
    <row r="280" spans="5:11" ht="13.5" thickBot="1">
      <c r="E280" s="218" t="s">
        <v>770</v>
      </c>
      <c r="F280" s="219"/>
      <c r="G280" s="220"/>
      <c r="H280" s="201"/>
      <c r="I280" s="201"/>
      <c r="J280" s="201"/>
      <c r="K280" s="203"/>
    </row>
    <row r="281" spans="5:11" ht="13.5" thickBot="1">
      <c r="E281" s="204" t="s">
        <v>202</v>
      </c>
      <c r="F281" s="41"/>
      <c r="G281" s="246"/>
      <c r="H281" s="247"/>
      <c r="I281" s="206">
        <f>H281</f>
        <v>0</v>
      </c>
      <c r="J281" s="206">
        <f>H281-I281</f>
        <v>0</v>
      </c>
    </row>
    <row r="282" spans="5:11" ht="13.5" thickBot="1">
      <c r="E282" s="204"/>
      <c r="F282" s="41"/>
      <c r="G282" s="246"/>
      <c r="H282" s="247"/>
      <c r="I282" s="206">
        <f>H282</f>
        <v>0</v>
      </c>
      <c r="J282" s="206">
        <f>H282-I282</f>
        <v>0</v>
      </c>
    </row>
    <row r="283" spans="5:11" ht="13.5" thickBot="1">
      <c r="E283" s="204"/>
      <c r="F283" s="41"/>
      <c r="G283" s="246"/>
      <c r="H283" s="247"/>
      <c r="I283" s="206">
        <f>H283</f>
        <v>0</v>
      </c>
      <c r="J283" s="206">
        <f>H283-I283</f>
        <v>0</v>
      </c>
    </row>
    <row r="284" spans="5:11" ht="13.5" thickBot="1">
      <c r="E284" s="204"/>
      <c r="F284" s="41"/>
      <c r="G284" s="205"/>
      <c r="H284" s="206"/>
      <c r="I284" s="206"/>
      <c r="J284" s="206"/>
    </row>
    <row r="285" spans="5:11" ht="13.5" thickBot="1">
      <c r="E285" s="204"/>
      <c r="F285" s="41"/>
      <c r="G285" s="207" t="s">
        <v>1005</v>
      </c>
      <c r="H285" s="248"/>
      <c r="I285" s="208">
        <f>SUBTOTAL(9,I281:I281)</f>
        <v>0</v>
      </c>
      <c r="J285" s="208">
        <f>SUBTOTAL(9,J281:J281)</f>
        <v>0</v>
      </c>
      <c r="K285" s="203"/>
    </row>
    <row r="286" spans="5:11" ht="13.5" thickBot="1">
      <c r="E286" s="218" t="s">
        <v>203</v>
      </c>
      <c r="F286" s="219"/>
      <c r="G286" s="220"/>
      <c r="H286" s="201"/>
      <c r="I286" s="201"/>
      <c r="J286" s="201"/>
      <c r="K286" s="203"/>
    </row>
    <row r="287" spans="5:11" ht="13.5" thickBot="1">
      <c r="E287" s="204" t="s">
        <v>204</v>
      </c>
      <c r="F287" s="41"/>
      <c r="G287" s="205"/>
      <c r="H287" s="206">
        <v>0</v>
      </c>
      <c r="I287" s="206">
        <f>H287</f>
        <v>0</v>
      </c>
      <c r="J287" s="206">
        <f>H287-I287</f>
        <v>0</v>
      </c>
      <c r="K287" s="203"/>
    </row>
    <row r="288" spans="5:11" ht="13.5" thickBot="1">
      <c r="E288" s="204"/>
      <c r="F288" s="41"/>
      <c r="G288" s="205"/>
      <c r="H288" s="206"/>
      <c r="I288" s="208"/>
      <c r="J288" s="208"/>
      <c r="K288" s="203"/>
    </row>
    <row r="289" spans="5:11" ht="13.5" thickBot="1">
      <c r="E289" s="204"/>
      <c r="F289" s="41"/>
      <c r="G289" s="207" t="s">
        <v>1005</v>
      </c>
      <c r="H289" s="208">
        <f>SUBTOTAL(9,H287:H288)</f>
        <v>0</v>
      </c>
      <c r="I289" s="208">
        <f>SUBTOTAL(9,I287:I288)</f>
        <v>0</v>
      </c>
      <c r="J289" s="208">
        <f>SUBTOTAL(9,J287:J288)</f>
        <v>0</v>
      </c>
      <c r="K289" s="203"/>
    </row>
    <row r="290" spans="5:11" ht="13.5" thickBot="1">
      <c r="E290" s="218" t="s">
        <v>647</v>
      </c>
      <c r="F290" s="219"/>
      <c r="G290" s="220"/>
      <c r="H290" s="201"/>
      <c r="I290" s="201"/>
      <c r="J290" s="201"/>
      <c r="K290" s="203"/>
    </row>
    <row r="291" spans="5:11" ht="13.5" thickBot="1">
      <c r="E291" s="204" t="s">
        <v>204</v>
      </c>
      <c r="F291" s="41"/>
      <c r="G291" s="205"/>
      <c r="H291" s="206" t="s">
        <v>767</v>
      </c>
      <c r="I291" s="206" t="str">
        <f>H291</f>
        <v>NA</v>
      </c>
      <c r="J291" s="206" t="e">
        <f>H291-I291</f>
        <v>#VALUE!</v>
      </c>
      <c r="K291" s="203"/>
    </row>
    <row r="292" spans="5:11" ht="13.5" thickBot="1">
      <c r="E292" s="204"/>
      <c r="F292" s="41"/>
      <c r="G292" s="205"/>
      <c r="H292" s="206"/>
      <c r="I292" s="208"/>
      <c r="J292" s="208"/>
      <c r="K292" s="203"/>
    </row>
    <row r="293" spans="5:11" ht="13.5" thickBot="1">
      <c r="E293" s="204"/>
      <c r="F293" s="41"/>
      <c r="G293" s="207" t="s">
        <v>1005</v>
      </c>
      <c r="H293" s="208" t="s">
        <v>767</v>
      </c>
      <c r="I293" s="208">
        <f>SUBTOTAL(9,I291:I292)</f>
        <v>0</v>
      </c>
      <c r="J293" s="208" t="e">
        <f>SUBTOTAL(9,J291:J292)</f>
        <v>#VALUE!</v>
      </c>
      <c r="K293" s="203"/>
    </row>
    <row r="294" spans="5:11" ht="13.5" thickBot="1">
      <c r="E294" s="218" t="s">
        <v>205</v>
      </c>
      <c r="F294" s="219"/>
      <c r="G294" s="220"/>
      <c r="H294" s="201"/>
      <c r="I294" s="201"/>
      <c r="J294" s="201"/>
      <c r="K294" s="203"/>
    </row>
    <row r="295" spans="5:11" ht="13.5" thickBot="1">
      <c r="E295" s="204" t="s">
        <v>615</v>
      </c>
      <c r="F295" s="41"/>
      <c r="G295" s="205"/>
      <c r="H295" s="206">
        <v>1000000</v>
      </c>
      <c r="I295" s="206">
        <f>H295</f>
        <v>1000000</v>
      </c>
      <c r="J295" s="206">
        <f>H295-I295</f>
        <v>0</v>
      </c>
    </row>
    <row r="296" spans="5:11" ht="13.5" thickBot="1">
      <c r="E296" s="204" t="s">
        <v>206</v>
      </c>
      <c r="F296" s="41"/>
      <c r="G296" s="205"/>
      <c r="H296" s="206">
        <v>100000</v>
      </c>
      <c r="I296" s="206">
        <f>H296</f>
        <v>100000</v>
      </c>
      <c r="J296" s="206">
        <f>H296-I296</f>
        <v>0</v>
      </c>
    </row>
    <row r="297" spans="5:11" ht="13.5" thickBot="1">
      <c r="E297" s="204" t="s">
        <v>207</v>
      </c>
      <c r="F297" s="41"/>
      <c r="G297" s="205"/>
      <c r="H297" s="206">
        <f>SUM(H295:H296)*0.0325</f>
        <v>35750</v>
      </c>
      <c r="I297" s="206">
        <f>H297</f>
        <v>35750</v>
      </c>
      <c r="J297" s="206">
        <f>H297-I297</f>
        <v>0</v>
      </c>
    </row>
    <row r="298" spans="5:11" ht="13.5" thickBot="1">
      <c r="E298" s="204"/>
      <c r="F298" s="249"/>
      <c r="G298" s="205"/>
      <c r="H298" s="206"/>
      <c r="I298" s="206">
        <f>H298</f>
        <v>0</v>
      </c>
      <c r="J298" s="206">
        <f>H298-I298</f>
        <v>0</v>
      </c>
    </row>
    <row r="299" spans="5:11" ht="13.5" thickBot="1">
      <c r="E299" s="250"/>
      <c r="F299" s="251"/>
      <c r="G299" s="252" t="s">
        <v>1005</v>
      </c>
      <c r="H299" s="208">
        <f>SUBTOTAL(9,H295:H298)</f>
        <v>1135750</v>
      </c>
      <c r="I299" s="208">
        <f>SUBTOTAL(9,I295:I298)</f>
        <v>1135750</v>
      </c>
      <c r="J299" s="208">
        <f>SUBTOTAL(9,J295:J298)</f>
        <v>0</v>
      </c>
      <c r="K299" s="203"/>
    </row>
    <row r="300" spans="5:11">
      <c r="E300" s="203"/>
      <c r="F300" s="203"/>
      <c r="G300" s="203"/>
      <c r="H300" s="203"/>
      <c r="I300" s="203"/>
      <c r="J300" s="203"/>
    </row>
    <row r="307" spans="2:7">
      <c r="B307" s="40"/>
      <c r="E307" s="253"/>
    </row>
    <row r="308" spans="2:7">
      <c r="B308" s="40"/>
      <c r="F308" s="253"/>
      <c r="G308" s="253"/>
    </row>
    <row r="852" spans="1:4">
      <c r="A852" s="253"/>
      <c r="B852" s="253"/>
      <c r="C852" s="253"/>
      <c r="D852" s="253"/>
    </row>
    <row r="900" spans="5:10">
      <c r="E900" s="253"/>
    </row>
    <row r="901" spans="5:10">
      <c r="F901" s="253"/>
      <c r="G901" s="253"/>
      <c r="H901" s="253"/>
      <c r="I901" s="253"/>
      <c r="J901" s="253"/>
    </row>
  </sheetData>
  <dataConsolidate/>
  <printOptions horizontalCentered="1"/>
  <pageMargins left="0.75" right="0.75" top="1" bottom="1" header="0.5" footer="0.5"/>
  <pageSetup scale="75" firstPageNumber="13" fitToHeight="5" orientation="portrait" horizontalDpi="4294967292" verticalDpi="4294967292" r:id="rId1"/>
  <headerFooter alignWithMargins="0">
    <oddHeader>&amp;CENRON PROPRIETARY 
AND  CONFIDENTIAL INFORMATION</oddHeader>
    <oddFooter>&amp;LScot Chambers
&amp;D&amp;CPage _____&amp;R&amp;F
&amp;A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356"/>
  <sheetViews>
    <sheetView topLeftCell="A18" zoomScale="80" workbookViewId="0">
      <selection activeCell="B33" sqref="B33"/>
    </sheetView>
  </sheetViews>
  <sheetFormatPr defaultRowHeight="12.75"/>
  <cols>
    <col min="1" max="1" width="4.7109375" style="73" customWidth="1"/>
    <col min="2" max="2" width="49.85546875" style="73" customWidth="1"/>
    <col min="3" max="3" width="9.5703125" style="73" customWidth="1"/>
    <col min="4" max="5" width="11.42578125" style="73" customWidth="1"/>
    <col min="6" max="6" width="10.28515625" style="73" bestFit="1" customWidth="1"/>
    <col min="7" max="7" width="11.85546875" style="73" customWidth="1"/>
    <col min="8" max="8" width="9.140625" style="73"/>
    <col min="9" max="16384" width="9.140625" style="74"/>
  </cols>
  <sheetData>
    <row r="1" spans="1:42" ht="15.75">
      <c r="A1" s="469" t="str">
        <f>Scope!A1</f>
        <v>City of Austin 4 x LM6000 Power Project</v>
      </c>
      <c r="B1" s="469"/>
      <c r="C1" s="469"/>
      <c r="D1" s="469"/>
      <c r="E1" s="469"/>
      <c r="F1" s="469"/>
      <c r="G1" s="469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4"/>
      <c r="AL1" s="34"/>
      <c r="AM1" s="34"/>
      <c r="AN1" s="34"/>
      <c r="AO1" s="34"/>
      <c r="AP1" s="34"/>
    </row>
    <row r="2" spans="1:42" ht="15.75">
      <c r="A2" s="469" t="s">
        <v>649</v>
      </c>
      <c r="B2" s="469"/>
      <c r="C2" s="469"/>
      <c r="D2" s="469"/>
      <c r="E2" s="469"/>
      <c r="F2" s="469"/>
      <c r="G2" s="469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4"/>
      <c r="AL2" s="34"/>
      <c r="AM2" s="34"/>
      <c r="AN2" s="34"/>
      <c r="AO2" s="34"/>
      <c r="AP2" s="34"/>
    </row>
    <row r="3" spans="1:42" ht="13.5" thickBot="1">
      <c r="A3" s="34"/>
      <c r="B3" s="34"/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/>
      <c r="AD3" s="34"/>
      <c r="AE3" s="34"/>
      <c r="AF3" s="34"/>
      <c r="AG3" s="34"/>
      <c r="AH3" s="34"/>
      <c r="AI3" s="34"/>
      <c r="AJ3" s="34"/>
      <c r="AK3" s="34"/>
      <c r="AL3" s="34"/>
      <c r="AM3" s="34"/>
      <c r="AN3" s="34"/>
      <c r="AO3" s="34"/>
      <c r="AP3" s="34"/>
    </row>
    <row r="4" spans="1:42" ht="13.5" thickBot="1">
      <c r="A4" s="34"/>
      <c r="B4" s="37"/>
      <c r="C4" s="37"/>
      <c r="D4" s="466" t="s">
        <v>759</v>
      </c>
      <c r="E4" s="467"/>
      <c r="F4" s="467"/>
      <c r="G4" s="468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4"/>
      <c r="AL4" s="34"/>
      <c r="AM4" s="34"/>
      <c r="AN4" s="34"/>
      <c r="AO4" s="34"/>
      <c r="AP4" s="34"/>
    </row>
    <row r="5" spans="1:42">
      <c r="A5" s="34"/>
      <c r="B5" s="37"/>
      <c r="C5" s="37"/>
      <c r="D5" s="254"/>
      <c r="E5" s="255"/>
      <c r="F5" s="437" t="s">
        <v>311</v>
      </c>
      <c r="G5" s="437" t="s">
        <v>313</v>
      </c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  <c r="AO5" s="34"/>
      <c r="AP5" s="34"/>
    </row>
    <row r="6" spans="1:42" ht="13.5" thickBot="1">
      <c r="A6" s="34"/>
      <c r="B6" s="37"/>
      <c r="C6" s="256"/>
      <c r="D6" s="257" t="s">
        <v>772</v>
      </c>
      <c r="E6" s="258" t="s">
        <v>773</v>
      </c>
      <c r="F6" s="258" t="s">
        <v>312</v>
      </c>
      <c r="G6" s="258" t="s">
        <v>312</v>
      </c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34"/>
    </row>
    <row r="7" spans="1:42">
      <c r="A7" s="40"/>
      <c r="B7" s="41"/>
      <c r="C7" s="41"/>
      <c r="D7" s="43"/>
      <c r="E7" s="259"/>
      <c r="F7" s="259"/>
      <c r="G7" s="259"/>
      <c r="H7" s="3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4"/>
      <c r="AM7" s="34"/>
      <c r="AN7" s="34"/>
      <c r="AO7" s="34"/>
      <c r="AP7" s="34"/>
    </row>
    <row r="8" spans="1:42">
      <c r="A8" s="46" t="s">
        <v>208</v>
      </c>
      <c r="B8" s="41"/>
      <c r="C8" s="42"/>
      <c r="D8" s="81">
        <f>'O&amp;M_Backup'!D13</f>
        <v>508225.83971199999</v>
      </c>
      <c r="E8" s="260">
        <f>D8</f>
        <v>508225.83971199999</v>
      </c>
      <c r="F8" s="260">
        <f>(D8+2*E8)/3</f>
        <v>508225.83971199999</v>
      </c>
      <c r="G8" s="260">
        <f>(D8+19*E8)/20</f>
        <v>508225.83971199999</v>
      </c>
      <c r="H8" s="3" t="s">
        <v>316</v>
      </c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4"/>
      <c r="AP8" s="34"/>
    </row>
    <row r="9" spans="1:42">
      <c r="A9" s="40"/>
      <c r="B9" s="41"/>
      <c r="C9" s="12"/>
      <c r="D9" s="82"/>
      <c r="E9" s="205"/>
      <c r="F9" s="205"/>
      <c r="G9" s="205"/>
      <c r="H9" s="3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4"/>
      <c r="AO9" s="34"/>
      <c r="AP9" s="34"/>
    </row>
    <row r="10" spans="1:42">
      <c r="A10" s="40" t="s">
        <v>209</v>
      </c>
      <c r="B10"/>
      <c r="C10" s="12"/>
      <c r="D10" s="81"/>
      <c r="E10" s="260"/>
      <c r="F10" s="260"/>
      <c r="G10" s="260"/>
      <c r="H10" s="3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  <c r="AO10" s="34"/>
      <c r="AP10" s="34"/>
    </row>
    <row r="11" spans="1:42">
      <c r="A11" s="3"/>
      <c r="B11" s="41" t="str">
        <f>'O&amp;M_Backup'!A14</f>
        <v>Employee Expenses</v>
      </c>
      <c r="C11" s="42"/>
      <c r="D11" s="81">
        <f>'O&amp;M_Backup'!D22</f>
        <v>23700</v>
      </c>
      <c r="E11" s="260">
        <f t="shared" ref="E11:E19" si="0">D11</f>
        <v>23700</v>
      </c>
      <c r="F11" s="260">
        <f>(D11+2*E11)/3</f>
        <v>23700</v>
      </c>
      <c r="G11" s="260">
        <f>(D11+19*E11)/20</f>
        <v>23700</v>
      </c>
      <c r="H11" s="3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</row>
    <row r="12" spans="1:42">
      <c r="A12" s="3"/>
      <c r="B12" s="41" t="str">
        <f>'O&amp;M_Backup'!A23</f>
        <v>Permanent Contract Labor</v>
      </c>
      <c r="C12" s="42"/>
      <c r="D12" s="81">
        <f>'O&amp;M_Backup'!D30</f>
        <v>18000</v>
      </c>
      <c r="E12" s="260">
        <f t="shared" si="0"/>
        <v>18000</v>
      </c>
      <c r="F12" s="260">
        <f t="shared" ref="F12:F20" si="1">(D12+2*E12)/3</f>
        <v>18000</v>
      </c>
      <c r="G12" s="260">
        <f t="shared" ref="G12:G20" si="2">(D12+19*E12)/20</f>
        <v>18000</v>
      </c>
      <c r="H12" s="3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</row>
    <row r="13" spans="1:42">
      <c r="A13" s="3"/>
      <c r="B13" s="41" t="str">
        <f>'O&amp;M_Backup'!A31</f>
        <v xml:space="preserve">Environmental Expense </v>
      </c>
      <c r="C13" s="42"/>
      <c r="D13" s="81">
        <f>'O&amp;M_Backup'!D41</f>
        <v>57000</v>
      </c>
      <c r="E13" s="260">
        <f t="shared" si="0"/>
        <v>57000</v>
      </c>
      <c r="F13" s="260">
        <f t="shared" si="1"/>
        <v>57000</v>
      </c>
      <c r="G13" s="260">
        <f t="shared" si="2"/>
        <v>57000</v>
      </c>
      <c r="H13" s="3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/>
      <c r="AD13" s="34"/>
      <c r="AE13" s="34"/>
      <c r="AF13" s="34"/>
      <c r="AG13" s="34"/>
      <c r="AH13" s="34"/>
      <c r="AI13" s="34"/>
      <c r="AJ13" s="34"/>
      <c r="AK13" s="34"/>
      <c r="AL13" s="34"/>
      <c r="AM13" s="34"/>
      <c r="AN13" s="34"/>
      <c r="AO13" s="34"/>
      <c r="AP13" s="34"/>
    </row>
    <row r="14" spans="1:42">
      <c r="A14" s="3"/>
      <c r="B14" s="41" t="str">
        <f>'O&amp;M_Backup'!A42</f>
        <v>Safety Expense</v>
      </c>
      <c r="C14" s="42"/>
      <c r="D14" s="81">
        <f>'O&amp;M_Backup'!D50</f>
        <v>10000</v>
      </c>
      <c r="E14" s="260">
        <f t="shared" si="0"/>
        <v>10000</v>
      </c>
      <c r="F14" s="260">
        <f t="shared" si="1"/>
        <v>10000</v>
      </c>
      <c r="G14" s="260">
        <f t="shared" si="2"/>
        <v>10000</v>
      </c>
      <c r="H14" s="3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/>
      <c r="AD14" s="34"/>
      <c r="AE14" s="34"/>
      <c r="AF14" s="34"/>
      <c r="AG14" s="34"/>
      <c r="AH14" s="34"/>
      <c r="AI14" s="34"/>
      <c r="AJ14" s="34"/>
      <c r="AK14" s="34"/>
      <c r="AL14" s="34"/>
      <c r="AM14" s="34"/>
      <c r="AN14" s="34"/>
      <c r="AO14" s="34"/>
      <c r="AP14" s="34"/>
    </row>
    <row r="15" spans="1:42">
      <c r="A15" s="3"/>
      <c r="B15" s="41" t="str">
        <f>'O&amp;M_Backup'!A51</f>
        <v>Buildings &amp; Grounds</v>
      </c>
      <c r="C15" s="42"/>
      <c r="D15" s="81">
        <f>'O&amp;M_Backup'!D61</f>
        <v>13893.087812823547</v>
      </c>
      <c r="E15" s="260">
        <f t="shared" si="0"/>
        <v>13893.087812823547</v>
      </c>
      <c r="F15" s="260">
        <f t="shared" si="1"/>
        <v>13893.087812823547</v>
      </c>
      <c r="G15" s="260">
        <f t="shared" si="2"/>
        <v>13893.087812823545</v>
      </c>
      <c r="H15" s="3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4"/>
      <c r="AM15" s="34"/>
      <c r="AN15" s="34"/>
      <c r="AO15" s="34"/>
      <c r="AP15" s="34"/>
    </row>
    <row r="16" spans="1:42">
      <c r="A16" s="3"/>
      <c r="B16" s="41" t="str">
        <f>'O&amp;M_Backup'!A62</f>
        <v>Other Supplies &amp; Expenses</v>
      </c>
      <c r="C16" s="42"/>
      <c r="D16" s="81">
        <f>'O&amp;M_Backup'!D92</f>
        <v>33200</v>
      </c>
      <c r="E16" s="260">
        <f t="shared" si="0"/>
        <v>33200</v>
      </c>
      <c r="F16" s="260">
        <f t="shared" si="1"/>
        <v>33200</v>
      </c>
      <c r="G16" s="260">
        <f t="shared" si="2"/>
        <v>33200</v>
      </c>
      <c r="H16" s="3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  <c r="AL16" s="34"/>
      <c r="AM16" s="34"/>
      <c r="AN16" s="34"/>
      <c r="AO16" s="34"/>
      <c r="AP16" s="34"/>
    </row>
    <row r="17" spans="1:42">
      <c r="A17" s="3"/>
      <c r="B17" s="41" t="str">
        <f>'O&amp;M_Backup'!A93</f>
        <v>Communications</v>
      </c>
      <c r="C17" s="42"/>
      <c r="D17" s="81">
        <f>'O&amp;M_Backup'!D97</f>
        <v>13200</v>
      </c>
      <c r="E17" s="260">
        <f t="shared" si="0"/>
        <v>13200</v>
      </c>
      <c r="F17" s="260">
        <f t="shared" si="1"/>
        <v>13200</v>
      </c>
      <c r="G17" s="260">
        <f t="shared" si="2"/>
        <v>13200</v>
      </c>
      <c r="H17" s="3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34"/>
    </row>
    <row r="18" spans="1:42" ht="12.75" customHeight="1">
      <c r="A18" s="3"/>
      <c r="B18" s="21" t="str">
        <f>'O&amp;M_Backup'!A98</f>
        <v>Operating Insurance</v>
      </c>
      <c r="C18" s="42"/>
      <c r="D18" s="81">
        <f>'O&amp;M_Backup'!D101</f>
        <v>0</v>
      </c>
      <c r="E18" s="260">
        <f t="shared" si="0"/>
        <v>0</v>
      </c>
      <c r="F18" s="260">
        <f t="shared" si="1"/>
        <v>0</v>
      </c>
      <c r="G18" s="260">
        <f t="shared" si="2"/>
        <v>0</v>
      </c>
      <c r="H18" s="3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L18" s="34"/>
      <c r="AM18" s="34"/>
      <c r="AN18" s="34"/>
      <c r="AO18" s="34"/>
      <c r="AP18" s="34"/>
    </row>
    <row r="19" spans="1:42" ht="12.75" customHeight="1">
      <c r="A19" s="3"/>
      <c r="B19" s="41" t="str">
        <f>'O&amp;M_Backup'!A102</f>
        <v>Control Room/Laboratory Expenses</v>
      </c>
      <c r="C19" s="42"/>
      <c r="D19" s="81">
        <f>'O&amp;M_Backup'!D111</f>
        <v>4490</v>
      </c>
      <c r="E19" s="260">
        <f t="shared" si="0"/>
        <v>4490</v>
      </c>
      <c r="F19" s="260">
        <f t="shared" si="1"/>
        <v>4490</v>
      </c>
      <c r="G19" s="260">
        <f t="shared" si="2"/>
        <v>4490</v>
      </c>
      <c r="H19" s="3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  <c r="AL19" s="34"/>
      <c r="AM19" s="34"/>
      <c r="AN19" s="34"/>
      <c r="AO19" s="34"/>
      <c r="AP19" s="34"/>
    </row>
    <row r="20" spans="1:42">
      <c r="A20" s="3"/>
      <c r="B20" s="41" t="str">
        <f>'O&amp;M_Backup'!A112</f>
        <v>Operations Support (Year 1 Only)</v>
      </c>
      <c r="C20" s="42"/>
      <c r="D20" s="81">
        <f>'O&amp;M_Backup'!D118</f>
        <v>15250</v>
      </c>
      <c r="E20" s="260">
        <v>0</v>
      </c>
      <c r="F20" s="260">
        <f t="shared" si="1"/>
        <v>5083.333333333333</v>
      </c>
      <c r="G20" s="260">
        <f t="shared" si="2"/>
        <v>762.5</v>
      </c>
      <c r="H20" s="3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/>
      <c r="AD20" s="34"/>
      <c r="AE20" s="34"/>
      <c r="AF20" s="34"/>
      <c r="AG20" s="34"/>
      <c r="AH20" s="34"/>
      <c r="AI20" s="34"/>
      <c r="AJ20" s="34"/>
      <c r="AK20" s="34"/>
      <c r="AL20" s="34"/>
      <c r="AM20" s="34"/>
      <c r="AN20" s="34"/>
      <c r="AO20" s="34"/>
      <c r="AP20" s="34"/>
    </row>
    <row r="21" spans="1:42" ht="12.75" customHeight="1">
      <c r="A21" s="3"/>
      <c r="B21" s="41"/>
      <c r="C21" s="42"/>
      <c r="D21" s="82"/>
      <c r="E21" s="205"/>
      <c r="F21" s="205"/>
      <c r="G21" s="205"/>
      <c r="H21" s="3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4"/>
      <c r="AO21" s="34"/>
      <c r="AP21" s="34"/>
    </row>
    <row r="22" spans="1:42" ht="12.75" customHeight="1">
      <c r="A22" s="3"/>
      <c r="B22" s="46" t="s">
        <v>210</v>
      </c>
      <c r="C22" s="48"/>
      <c r="D22" s="81">
        <f>SUBTOTAL(9,D11:D20)</f>
        <v>188733.08781282353</v>
      </c>
      <c r="E22" s="81">
        <f>SUBTOTAL(9,E11:E20)</f>
        <v>173483.08781282353</v>
      </c>
      <c r="F22" s="81">
        <f>SUBTOTAL(9,F11:F20)</f>
        <v>178566.42114615688</v>
      </c>
      <c r="G22" s="81">
        <f>SUBTOTAL(9,G11:G20)</f>
        <v>174245.58781282353</v>
      </c>
      <c r="H22" s="3" t="s">
        <v>316</v>
      </c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34"/>
      <c r="AI22" s="34"/>
      <c r="AJ22" s="34"/>
      <c r="AK22" s="34"/>
      <c r="AL22" s="34"/>
      <c r="AM22" s="34"/>
      <c r="AN22" s="34"/>
      <c r="AO22" s="34"/>
      <c r="AP22" s="34"/>
    </row>
    <row r="23" spans="1:42" ht="12.75" customHeight="1">
      <c r="A23" s="3"/>
      <c r="B23" s="41"/>
      <c r="C23" s="42"/>
      <c r="D23" s="82"/>
      <c r="E23" s="205"/>
      <c r="F23" s="205"/>
      <c r="G23" s="205"/>
      <c r="H23" s="3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H23" s="34"/>
      <c r="AI23" s="34"/>
      <c r="AJ23" s="34"/>
      <c r="AK23" s="34"/>
      <c r="AL23" s="34"/>
      <c r="AM23" s="34"/>
      <c r="AN23" s="34"/>
      <c r="AO23" s="34"/>
      <c r="AP23" s="34"/>
    </row>
    <row r="24" spans="1:42" ht="12.75" customHeight="1">
      <c r="A24" s="46" t="s">
        <v>315</v>
      </c>
      <c r="B24" s="41"/>
      <c r="C24" s="42"/>
      <c r="D24" s="81">
        <f>'O&amp;M_Backup'!D134</f>
        <v>127190.70999999999</v>
      </c>
      <c r="E24" s="260">
        <f>D24</f>
        <v>127190.70999999999</v>
      </c>
      <c r="F24" s="260">
        <f>(D24+2*E24)/3</f>
        <v>127190.71</v>
      </c>
      <c r="G24" s="260">
        <f>(D24+19*E24)/20</f>
        <v>127190.70999999999</v>
      </c>
      <c r="H24" s="3" t="s">
        <v>317</v>
      </c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34"/>
      <c r="AI24" s="34"/>
      <c r="AJ24" s="34"/>
      <c r="AK24" s="34"/>
      <c r="AL24" s="34"/>
      <c r="AM24" s="34"/>
      <c r="AN24" s="34"/>
      <c r="AO24" s="34"/>
      <c r="AP24" s="34"/>
    </row>
    <row r="25" spans="1:42" ht="12.75" customHeight="1">
      <c r="A25" s="46"/>
      <c r="B25" s="261" t="s">
        <v>855</v>
      </c>
      <c r="C25" s="42"/>
      <c r="D25" s="81"/>
      <c r="E25" s="260"/>
      <c r="F25" s="260"/>
      <c r="G25" s="260"/>
      <c r="H25" s="3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/>
      <c r="AI25" s="34"/>
      <c r="AJ25" s="34"/>
      <c r="AK25" s="34"/>
      <c r="AL25" s="34"/>
      <c r="AM25" s="34"/>
      <c r="AN25" s="34"/>
      <c r="AO25" s="34"/>
      <c r="AP25" s="34"/>
    </row>
    <row r="26" spans="1:42" ht="12.75" customHeight="1">
      <c r="A26" s="40"/>
      <c r="B26" s="41"/>
      <c r="C26" s="42"/>
      <c r="D26" s="82"/>
      <c r="E26" s="205"/>
      <c r="F26" s="205"/>
      <c r="G26" s="205"/>
      <c r="H26" s="3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/>
      <c r="AD26" s="34"/>
      <c r="AE26" s="34"/>
      <c r="AF26" s="34"/>
      <c r="AG26" s="34"/>
      <c r="AH26" s="34"/>
      <c r="AI26" s="34"/>
      <c r="AJ26" s="34"/>
      <c r="AK26" s="34"/>
      <c r="AL26" s="34"/>
      <c r="AM26" s="34"/>
      <c r="AN26" s="34"/>
      <c r="AO26" s="34"/>
      <c r="AP26" s="34"/>
    </row>
    <row r="27" spans="1:42" ht="12.75" customHeight="1">
      <c r="A27" s="46" t="s">
        <v>335</v>
      </c>
      <c r="B27"/>
      <c r="C27" s="12"/>
      <c r="D27" s="81"/>
      <c r="E27" s="260"/>
      <c r="F27" s="260"/>
      <c r="G27" s="260"/>
      <c r="H27" s="3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/>
      <c r="AD27" s="34"/>
      <c r="AE27" s="34"/>
      <c r="AF27" s="34"/>
      <c r="AG27" s="34"/>
      <c r="AH27" s="34"/>
      <c r="AI27" s="34"/>
      <c r="AJ27" s="34"/>
      <c r="AK27" s="34"/>
      <c r="AL27" s="34"/>
      <c r="AM27" s="34"/>
      <c r="AN27" s="34"/>
      <c r="AO27" s="34"/>
      <c r="AP27" s="34"/>
    </row>
    <row r="28" spans="1:42">
      <c r="A28" s="3"/>
      <c r="B28" s="41" t="str">
        <f>'O&amp;M_Backup'!A135</f>
        <v>Painting</v>
      </c>
      <c r="C28" s="42"/>
      <c r="D28" s="81">
        <f>E28*0.25</f>
        <v>10616.988503249435</v>
      </c>
      <c r="E28" s="260">
        <f>'O&amp;M_Backup'!D142</f>
        <v>42467.954012997739</v>
      </c>
      <c r="F28" s="260">
        <f>(D28+2*E28)/3</f>
        <v>31850.965509748305</v>
      </c>
      <c r="G28" s="260">
        <f>(D28+19*E28)/20</f>
        <v>40875.405737510329</v>
      </c>
      <c r="H28" s="3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/>
      <c r="AD28" s="34"/>
      <c r="AE28" s="34"/>
      <c r="AF28" s="34"/>
      <c r="AG28" s="34"/>
      <c r="AH28" s="34"/>
      <c r="AI28" s="34"/>
      <c r="AJ28" s="34"/>
      <c r="AK28" s="34"/>
      <c r="AL28" s="34"/>
      <c r="AM28" s="34"/>
      <c r="AN28" s="34"/>
      <c r="AO28" s="34"/>
      <c r="AP28" s="34"/>
    </row>
    <row r="29" spans="1:42">
      <c r="A29" s="3"/>
      <c r="B29" s="41" t="str">
        <f>'O&amp;M_Backup'!A143</f>
        <v>Instruments &amp; Controls</v>
      </c>
      <c r="C29" s="42"/>
      <c r="D29" s="81">
        <f>'O&amp;M_Backup'!D152/2</f>
        <v>7003.125</v>
      </c>
      <c r="E29" s="260">
        <f>'O&amp;M_Backup'!D152</f>
        <v>14006.25</v>
      </c>
      <c r="F29" s="260">
        <f t="shared" ref="F29:F38" si="3">(D29+2*E29)/3</f>
        <v>11671.875</v>
      </c>
      <c r="G29" s="260">
        <f t="shared" ref="G29:G38" si="4">(D29+19*E29)/20</f>
        <v>13656.09375</v>
      </c>
      <c r="H29" s="3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/>
      <c r="AD29" s="34"/>
      <c r="AE29" s="34"/>
      <c r="AF29" s="34"/>
      <c r="AG29" s="34"/>
      <c r="AH29" s="34"/>
      <c r="AI29" s="34"/>
      <c r="AJ29" s="34"/>
      <c r="AK29" s="34"/>
      <c r="AL29" s="34"/>
      <c r="AM29" s="34"/>
      <c r="AN29" s="34"/>
      <c r="AO29" s="34"/>
      <c r="AP29" s="34"/>
    </row>
    <row r="30" spans="1:42">
      <c r="A30" s="3"/>
      <c r="B30" s="41" t="str">
        <f>'O&amp;M_Backup'!A153</f>
        <v>Water Treatment System</v>
      </c>
      <c r="C30" s="42"/>
      <c r="D30" s="81">
        <f>'O&amp;M_Backup'!D161/2</f>
        <v>4246.5881248445394</v>
      </c>
      <c r="E30" s="260">
        <f>'O&amp;M_Backup'!D161</f>
        <v>8493.1762496890788</v>
      </c>
      <c r="F30" s="260">
        <f t="shared" si="3"/>
        <v>7077.646874740899</v>
      </c>
      <c r="G30" s="260">
        <f t="shared" si="4"/>
        <v>8280.8468434468523</v>
      </c>
      <c r="H30" s="3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/>
      <c r="AD30" s="34"/>
      <c r="AE30" s="34"/>
      <c r="AF30" s="34"/>
      <c r="AG30" s="34"/>
      <c r="AH30" s="34"/>
      <c r="AI30" s="34"/>
      <c r="AJ30" s="34"/>
      <c r="AK30" s="34"/>
      <c r="AL30" s="34"/>
      <c r="AM30" s="34"/>
      <c r="AN30" s="34"/>
      <c r="AO30" s="34"/>
      <c r="AP30" s="34"/>
    </row>
    <row r="31" spans="1:42">
      <c r="A31" s="3"/>
      <c r="B31" s="41" t="str">
        <f>'O&amp;M_Backup'!A162</f>
        <v>Cooling System &amp; Chillers</v>
      </c>
      <c r="C31" s="42"/>
      <c r="D31" s="81">
        <f>'O&amp;M_Backup'!D171/2</f>
        <v>42250.874515922376</v>
      </c>
      <c r="E31" s="260">
        <f>'O&amp;M_Backup'!D171</f>
        <v>84501.749031844753</v>
      </c>
      <c r="F31" s="260">
        <f t="shared" si="3"/>
        <v>70418.12419320397</v>
      </c>
      <c r="G31" s="260">
        <f t="shared" si="4"/>
        <v>82389.205306048636</v>
      </c>
      <c r="H31" s="3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  <c r="AC31" s="34"/>
      <c r="AD31" s="34"/>
      <c r="AE31" s="34"/>
      <c r="AF31" s="34"/>
      <c r="AG31" s="34"/>
      <c r="AH31" s="34"/>
      <c r="AI31" s="34"/>
      <c r="AJ31" s="34"/>
      <c r="AK31" s="34"/>
      <c r="AL31" s="34"/>
      <c r="AM31" s="34"/>
      <c r="AN31" s="34"/>
      <c r="AO31" s="34"/>
      <c r="AP31" s="34"/>
    </row>
    <row r="32" spans="1:42">
      <c r="A32" s="3"/>
      <c r="B32" s="41" t="str">
        <f>'O&amp;M_Backup'!A172</f>
        <v>Electrical/Substation/Interconnects</v>
      </c>
      <c r="C32" s="42"/>
      <c r="D32" s="81">
        <f>'O&amp;M_Backup'!D182/2</f>
        <v>31252.126593178695</v>
      </c>
      <c r="E32" s="260">
        <f>'O&amp;M_Backup'!D182</f>
        <v>62504.253186357389</v>
      </c>
      <c r="F32" s="260">
        <f t="shared" si="3"/>
        <v>52086.877655297831</v>
      </c>
      <c r="G32" s="260">
        <f t="shared" si="4"/>
        <v>60941.646856698455</v>
      </c>
      <c r="H32" s="3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/>
      <c r="AD32" s="34"/>
      <c r="AE32" s="34"/>
      <c r="AF32" s="34"/>
      <c r="AG32" s="34"/>
      <c r="AH32" s="34"/>
      <c r="AI32" s="34"/>
      <c r="AJ32" s="34"/>
      <c r="AK32" s="34"/>
      <c r="AL32" s="34"/>
      <c r="AM32" s="34"/>
      <c r="AN32" s="34"/>
      <c r="AO32" s="34"/>
      <c r="AP32" s="34"/>
    </row>
    <row r="33" spans="1:42">
      <c r="A33" s="3"/>
      <c r="B33" s="41" t="str">
        <f>'O&amp;M_Backup'!A183</f>
        <v>Gas Turbines (excluding overhaul maint.)</v>
      </c>
      <c r="C33" s="42"/>
      <c r="D33" s="81">
        <f>'O&amp;M_Backup'!D192/2</f>
        <v>102297.5</v>
      </c>
      <c r="E33" s="260">
        <f>'O&amp;M_Backup'!D192</f>
        <v>204595</v>
      </c>
      <c r="F33" s="260">
        <f t="shared" si="3"/>
        <v>170495.83333333334</v>
      </c>
      <c r="G33" s="260">
        <f t="shared" si="4"/>
        <v>199480.125</v>
      </c>
      <c r="H33" s="3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34"/>
      <c r="AD33" s="34"/>
      <c r="AE33" s="34"/>
      <c r="AF33" s="34"/>
      <c r="AG33" s="34"/>
      <c r="AH33" s="34"/>
      <c r="AI33" s="34"/>
      <c r="AJ33" s="34"/>
      <c r="AK33" s="34"/>
      <c r="AL33" s="34"/>
      <c r="AM33" s="34"/>
      <c r="AN33" s="34"/>
      <c r="AO33" s="34"/>
      <c r="AP33" s="34"/>
    </row>
    <row r="34" spans="1:42">
      <c r="A34" s="3"/>
      <c r="B34" s="41" t="str">
        <f>'O&amp;M_Backup'!A193</f>
        <v>Selective Catalytic Reduction &amp; Ammonia System</v>
      </c>
      <c r="C34" s="42"/>
      <c r="D34" s="81">
        <f>'O&amp;M_Backup'!D203/2</f>
        <v>48000</v>
      </c>
      <c r="E34" s="260">
        <f>'O&amp;M_Backup'!D203</f>
        <v>96000</v>
      </c>
      <c r="F34" s="260">
        <f t="shared" si="3"/>
        <v>80000</v>
      </c>
      <c r="G34" s="260">
        <f t="shared" si="4"/>
        <v>93600</v>
      </c>
      <c r="H34" s="3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  <c r="AC34" s="34"/>
      <c r="AD34" s="34"/>
      <c r="AE34" s="34"/>
      <c r="AF34" s="34"/>
      <c r="AG34" s="34"/>
      <c r="AH34" s="34"/>
      <c r="AI34" s="34"/>
      <c r="AJ34" s="34"/>
      <c r="AK34" s="34"/>
      <c r="AL34" s="34"/>
      <c r="AM34" s="34"/>
      <c r="AN34" s="34"/>
      <c r="AO34" s="34"/>
      <c r="AP34" s="34"/>
    </row>
    <row r="35" spans="1:42" hidden="1">
      <c r="A35" s="3"/>
      <c r="B35" s="41" t="str">
        <f>'O&amp;M_Backup'!A204</f>
        <v>Steam Turbine (including Scheduled Maint.)</v>
      </c>
      <c r="C35" s="42"/>
      <c r="D35" s="81">
        <f>'O&amp;M_Backup'!D214</f>
        <v>0</v>
      </c>
      <c r="E35" s="260">
        <f>'O&amp;M_Backup'!D214</f>
        <v>0</v>
      </c>
      <c r="F35" s="260">
        <f t="shared" si="3"/>
        <v>0</v>
      </c>
      <c r="G35" s="260">
        <f t="shared" si="4"/>
        <v>0</v>
      </c>
      <c r="H35" s="3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4"/>
      <c r="AL35" s="34"/>
      <c r="AM35" s="34"/>
      <c r="AN35" s="34"/>
      <c r="AO35" s="34"/>
      <c r="AP35" s="34"/>
    </row>
    <row r="36" spans="1:42">
      <c r="A36" s="3"/>
      <c r="B36" s="41" t="str">
        <f>'O&amp;M_Backup'!A215</f>
        <v>Potable Water System</v>
      </c>
      <c r="C36" s="42"/>
      <c r="D36" s="81">
        <f>'O&amp;M_Backup'!D224/3</f>
        <v>639.79166666666663</v>
      </c>
      <c r="E36" s="81">
        <f>'O&amp;M_Backup'!D224</f>
        <v>1919.375</v>
      </c>
      <c r="F36" s="260">
        <f t="shared" si="3"/>
        <v>1492.8472222222224</v>
      </c>
      <c r="G36" s="260">
        <f t="shared" si="4"/>
        <v>1855.3958333333333</v>
      </c>
      <c r="H36" s="3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4"/>
      <c r="AD36" s="34"/>
      <c r="AE36" s="34"/>
      <c r="AF36" s="34"/>
      <c r="AG36" s="34"/>
      <c r="AH36" s="34"/>
      <c r="AI36" s="34"/>
      <c r="AJ36" s="34"/>
      <c r="AK36" s="34"/>
      <c r="AL36" s="34"/>
      <c r="AM36" s="34"/>
      <c r="AN36" s="34"/>
      <c r="AO36" s="34"/>
      <c r="AP36" s="34"/>
    </row>
    <row r="37" spans="1:42">
      <c r="A37" s="3"/>
      <c r="B37" s="41" t="str">
        <f>'O&amp;M_Backup'!A225</f>
        <v>Fuel Handling System</v>
      </c>
      <c r="C37" s="42"/>
      <c r="D37" s="81">
        <f>'O&amp;M_Backup'!D234/3</f>
        <v>864.58333333333337</v>
      </c>
      <c r="E37" s="260">
        <f>'O&amp;M_Backup'!D234</f>
        <v>2593.75</v>
      </c>
      <c r="F37" s="260">
        <f t="shared" si="3"/>
        <v>2017.3611111111111</v>
      </c>
      <c r="G37" s="260">
        <f t="shared" si="4"/>
        <v>2507.291666666667</v>
      </c>
      <c r="H37" s="3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34"/>
      <c r="AI37" s="34"/>
      <c r="AJ37" s="34"/>
      <c r="AK37" s="34"/>
      <c r="AL37" s="34"/>
      <c r="AM37" s="34"/>
      <c r="AN37" s="34"/>
      <c r="AO37" s="34"/>
      <c r="AP37" s="34"/>
    </row>
    <row r="38" spans="1:42">
      <c r="A38" s="3"/>
      <c r="B38" s="41" t="str">
        <f>'O&amp;M_Backup'!A235</f>
        <v>Miscellaneous Maintenance Expense</v>
      </c>
      <c r="C38" s="42"/>
      <c r="D38" s="81">
        <f>'O&amp;M_Backup'!D253</f>
        <v>129687.5</v>
      </c>
      <c r="E38" s="260">
        <f>'O&amp;M_Backup'!D253</f>
        <v>129687.5</v>
      </c>
      <c r="F38" s="260">
        <f t="shared" si="3"/>
        <v>129687.5</v>
      </c>
      <c r="G38" s="260">
        <f t="shared" si="4"/>
        <v>129687.5</v>
      </c>
      <c r="H38" s="3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  <c r="AB38" s="34"/>
      <c r="AC38" s="34"/>
      <c r="AD38" s="34"/>
      <c r="AE38" s="34"/>
      <c r="AF38" s="34"/>
      <c r="AG38" s="34"/>
      <c r="AH38" s="34"/>
      <c r="AI38" s="34"/>
      <c r="AJ38" s="34"/>
      <c r="AK38" s="34"/>
      <c r="AL38" s="34"/>
      <c r="AM38" s="34"/>
      <c r="AN38" s="34"/>
      <c r="AO38" s="34"/>
      <c r="AP38" s="34"/>
    </row>
    <row r="39" spans="1:42">
      <c r="A39" s="3"/>
      <c r="B39" s="41"/>
      <c r="C39" s="42"/>
      <c r="D39" s="82"/>
      <c r="E39" s="205"/>
      <c r="F39" s="205"/>
      <c r="G39" s="205"/>
      <c r="H39" s="3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34"/>
      <c r="AC39" s="34"/>
      <c r="AD39" s="34"/>
      <c r="AE39" s="34"/>
      <c r="AF39" s="34"/>
      <c r="AG39" s="34"/>
      <c r="AH39" s="34"/>
      <c r="AI39" s="34"/>
      <c r="AJ39" s="34"/>
      <c r="AK39" s="34"/>
      <c r="AL39" s="34"/>
      <c r="AM39" s="34"/>
      <c r="AN39" s="34"/>
      <c r="AO39" s="34"/>
      <c r="AP39" s="34"/>
    </row>
    <row r="40" spans="1:42">
      <c r="A40" s="3"/>
      <c r="B40" s="46" t="s">
        <v>211</v>
      </c>
      <c r="C40" s="48"/>
      <c r="D40" s="81">
        <f>SUBTOTAL(9,D28:D38)</f>
        <v>376859.07773719507</v>
      </c>
      <c r="E40" s="81">
        <f>SUBTOTAL(9,E28:E38)</f>
        <v>646769.00748088898</v>
      </c>
      <c r="F40" s="81">
        <f>SUBTOTAL(9,F28:F38)</f>
        <v>556799.03089965775</v>
      </c>
      <c r="G40" s="81">
        <f>SUBTOTAL(9,G28:G38)</f>
        <v>633273.5109937042</v>
      </c>
      <c r="H40" s="3" t="s">
        <v>318</v>
      </c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34"/>
      <c r="AC40" s="34"/>
      <c r="AD40" s="34"/>
      <c r="AE40" s="34"/>
      <c r="AF40" s="34"/>
      <c r="AG40" s="34"/>
      <c r="AH40" s="34"/>
      <c r="AI40" s="34"/>
      <c r="AJ40" s="34"/>
      <c r="AK40" s="34"/>
      <c r="AL40" s="34"/>
      <c r="AM40" s="34"/>
      <c r="AN40" s="34"/>
      <c r="AO40" s="34"/>
      <c r="AP40" s="34"/>
    </row>
    <row r="41" spans="1:42">
      <c r="A41" s="3"/>
      <c r="B41" s="46"/>
      <c r="C41" s="48"/>
      <c r="D41" s="81"/>
      <c r="E41" s="260"/>
      <c r="F41" s="260"/>
      <c r="G41" s="260"/>
      <c r="H41" s="3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/>
      <c r="AD41" s="34"/>
      <c r="AE41" s="34"/>
      <c r="AF41" s="34"/>
      <c r="AG41" s="34"/>
      <c r="AH41" s="34"/>
      <c r="AI41" s="34"/>
      <c r="AJ41" s="34"/>
      <c r="AK41" s="34"/>
      <c r="AL41" s="34"/>
      <c r="AM41" s="34"/>
      <c r="AN41" s="34"/>
      <c r="AO41" s="34"/>
      <c r="AP41" s="34"/>
    </row>
    <row r="42" spans="1:42">
      <c r="A42" s="68" t="s">
        <v>778</v>
      </c>
      <c r="B42" s="46"/>
      <c r="C42" s="48"/>
      <c r="D42" s="81">
        <f>'O&amp;M_Backup'!D285</f>
        <v>12639.475</v>
      </c>
      <c r="E42" s="260">
        <f>D42</f>
        <v>12639.475</v>
      </c>
      <c r="F42" s="260">
        <f>(D42+2*E42)/3</f>
        <v>12639.475</v>
      </c>
      <c r="G42" s="260">
        <f>(D42+19*E42)/20</f>
        <v>12639.475</v>
      </c>
      <c r="H42" s="3" t="s">
        <v>316</v>
      </c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4"/>
      <c r="AL42" s="34"/>
      <c r="AM42" s="34"/>
      <c r="AN42" s="34"/>
      <c r="AO42" s="34"/>
      <c r="AP42" s="34"/>
    </row>
    <row r="43" spans="1:42">
      <c r="A43" s="3"/>
      <c r="B43" s="46"/>
      <c r="C43" s="48"/>
      <c r="D43" s="81"/>
      <c r="E43" s="260"/>
      <c r="F43" s="260"/>
      <c r="G43" s="260"/>
      <c r="H43" s="3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</row>
    <row r="44" spans="1:42" ht="13.5" thickBot="1">
      <c r="A44" s="40" t="s">
        <v>212</v>
      </c>
      <c r="B44" s="46"/>
      <c r="C44" s="48"/>
      <c r="D44" s="85">
        <f>D42+D40+D24+D22+D8</f>
        <v>1213648.1902620185</v>
      </c>
      <c r="E44" s="85">
        <f>E42+E40+E24+E22+E8</f>
        <v>1468308.1200057124</v>
      </c>
      <c r="F44" s="85">
        <f>F42+F40+F24+F22+F8</f>
        <v>1383421.4767578146</v>
      </c>
      <c r="G44" s="85">
        <f>G42+G40+G24+G22+G8</f>
        <v>1455575.1235185277</v>
      </c>
      <c r="H44" s="3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  <c r="AA44" s="34"/>
      <c r="AB44" s="34"/>
      <c r="AC44" s="34"/>
      <c r="AD44" s="34"/>
      <c r="AE44" s="34"/>
      <c r="AF44" s="34"/>
      <c r="AG44" s="34"/>
      <c r="AH44" s="34"/>
      <c r="AI44" s="34"/>
      <c r="AJ44" s="34"/>
      <c r="AK44" s="34"/>
      <c r="AL44" s="34"/>
      <c r="AM44" s="34"/>
      <c r="AN44" s="34"/>
      <c r="AO44" s="34"/>
      <c r="AP44" s="34"/>
    </row>
    <row r="45" spans="1:42">
      <c r="A45" s="40"/>
      <c r="B45" s="46"/>
      <c r="C45" s="48"/>
      <c r="D45" s="37"/>
      <c r="E45" s="37"/>
      <c r="F45" s="37"/>
      <c r="G45" s="37"/>
      <c r="H45" s="3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  <c r="AA45" s="34"/>
      <c r="AB45" s="34"/>
      <c r="AC45" s="34"/>
      <c r="AD45" s="34"/>
      <c r="AE45" s="34"/>
      <c r="AF45" s="34"/>
      <c r="AG45" s="34"/>
      <c r="AH45" s="34"/>
      <c r="AI45" s="34"/>
      <c r="AJ45" s="34"/>
      <c r="AK45" s="34"/>
      <c r="AL45" s="34"/>
      <c r="AM45" s="34"/>
      <c r="AN45" s="34"/>
      <c r="AO45" s="34"/>
      <c r="AP45" s="34"/>
    </row>
    <row r="46" spans="1:42" ht="13.5" thickBot="1">
      <c r="A46" s="40"/>
      <c r="B46" s="3"/>
      <c r="C46" s="45"/>
      <c r="D46" s="3"/>
      <c r="E46" s="3"/>
      <c r="F46" s="3"/>
      <c r="G46" s="3"/>
      <c r="H46" s="3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4"/>
      <c r="AB46" s="34"/>
      <c r="AC46" s="34"/>
      <c r="AD46" s="34"/>
      <c r="AE46" s="34"/>
      <c r="AF46" s="34"/>
      <c r="AG46" s="34"/>
      <c r="AH46" s="34"/>
      <c r="AI46" s="34"/>
      <c r="AJ46" s="34"/>
      <c r="AK46" s="34"/>
      <c r="AL46" s="34"/>
      <c r="AM46" s="34"/>
      <c r="AN46" s="34"/>
      <c r="AO46" s="34"/>
      <c r="AP46" s="34"/>
    </row>
    <row r="47" spans="1:42" ht="13.5" hidden="1" thickBot="1">
      <c r="A47" s="40" t="s">
        <v>319</v>
      </c>
      <c r="B47" s="41"/>
      <c r="C47" s="34"/>
      <c r="D47" s="64">
        <f>LM6000PC_MMR_Gas!H9</f>
        <v>54.346153846153847</v>
      </c>
      <c r="H47" s="3" t="s">
        <v>317</v>
      </c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  <c r="AA47" s="34"/>
      <c r="AB47" s="34"/>
      <c r="AC47" s="34"/>
      <c r="AD47" s="34"/>
      <c r="AE47" s="34"/>
      <c r="AF47" s="34"/>
      <c r="AG47" s="34"/>
      <c r="AH47" s="34"/>
      <c r="AI47" s="34"/>
      <c r="AJ47" s="34"/>
      <c r="AK47" s="34"/>
      <c r="AL47" s="34"/>
      <c r="AM47" s="34"/>
      <c r="AN47" s="34"/>
      <c r="AO47" s="34"/>
      <c r="AP47" s="34"/>
    </row>
    <row r="48" spans="1:42" ht="13.5" hidden="1" thickBot="1">
      <c r="A48" s="40" t="s">
        <v>320</v>
      </c>
      <c r="B48" s="41"/>
      <c r="C48" s="34"/>
      <c r="D48" s="64">
        <f>1000000/40000</f>
        <v>25</v>
      </c>
      <c r="H48" s="3" t="s">
        <v>317</v>
      </c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  <c r="AA48" s="34"/>
      <c r="AB48" s="34"/>
      <c r="AC48" s="34"/>
      <c r="AD48" s="34"/>
      <c r="AE48" s="34"/>
      <c r="AF48" s="34"/>
      <c r="AG48" s="34"/>
      <c r="AH48" s="34"/>
      <c r="AI48" s="34"/>
      <c r="AJ48" s="34"/>
      <c r="AK48" s="34"/>
      <c r="AL48" s="34"/>
      <c r="AM48" s="34"/>
      <c r="AN48" s="34"/>
      <c r="AO48" s="34"/>
      <c r="AP48" s="34"/>
    </row>
    <row r="49" spans="1:42" ht="13.5" hidden="1" thickBot="1">
      <c r="B49" s="3"/>
      <c r="C49" s="45"/>
      <c r="D49" s="262"/>
      <c r="E49" s="263"/>
      <c r="F49" s="263"/>
      <c r="G49" s="263"/>
      <c r="H49" s="3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4"/>
      <c r="AI49" s="34"/>
      <c r="AJ49" s="34"/>
      <c r="AK49" s="34"/>
      <c r="AL49" s="34"/>
      <c r="AM49" s="34"/>
      <c r="AN49" s="34"/>
      <c r="AO49" s="34"/>
      <c r="AP49" s="34"/>
    </row>
    <row r="50" spans="1:42" ht="13.5" hidden="1" thickBot="1">
      <c r="A50" s="40" t="s">
        <v>213</v>
      </c>
      <c r="B50" s="3"/>
      <c r="C50" s="45"/>
      <c r="D50" s="56"/>
      <c r="E50" s="56"/>
      <c r="F50" s="56"/>
      <c r="G50" s="56"/>
      <c r="H50" s="3" t="s">
        <v>316</v>
      </c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  <c r="AA50" s="34"/>
      <c r="AB50" s="34"/>
      <c r="AC50" s="34"/>
      <c r="AD50" s="34"/>
      <c r="AE50" s="34"/>
      <c r="AF50" s="34"/>
      <c r="AG50" s="34"/>
      <c r="AH50" s="34"/>
      <c r="AI50" s="34"/>
      <c r="AJ50" s="34"/>
      <c r="AK50" s="34"/>
      <c r="AL50" s="34"/>
      <c r="AM50" s="34"/>
      <c r="AN50" s="34"/>
      <c r="AO50" s="34"/>
      <c r="AP50" s="34"/>
    </row>
    <row r="51" spans="1:42" ht="13.5" hidden="1" thickBot="1"/>
    <row r="52" spans="1:42" ht="13.5" hidden="1" thickBot="1">
      <c r="A52" s="40" t="s">
        <v>781</v>
      </c>
      <c r="B52" s="3"/>
      <c r="C52" s="42"/>
      <c r="D52" s="88" t="s">
        <v>767</v>
      </c>
      <c r="E52" s="88" t="str">
        <f>D52</f>
        <v>NA</v>
      </c>
      <c r="F52" s="88"/>
      <c r="G52" s="88"/>
      <c r="H52" s="3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  <c r="AA52" s="34"/>
      <c r="AB52" s="34"/>
      <c r="AC52" s="34"/>
      <c r="AD52" s="34"/>
      <c r="AE52" s="34"/>
      <c r="AF52" s="34"/>
      <c r="AG52" s="34"/>
      <c r="AH52" s="34"/>
      <c r="AI52" s="34"/>
      <c r="AJ52" s="34"/>
      <c r="AK52" s="34"/>
      <c r="AL52" s="34"/>
      <c r="AM52" s="34"/>
      <c r="AN52" s="34"/>
      <c r="AO52" s="34"/>
      <c r="AP52" s="34"/>
    </row>
    <row r="53" spans="1:42" ht="13.5" hidden="1" thickBot="1">
      <c r="A53" s="40"/>
      <c r="B53" s="3"/>
      <c r="C53" s="42"/>
      <c r="D53" s="37"/>
      <c r="E53" s="37"/>
      <c r="F53" s="37"/>
      <c r="G53" s="37"/>
      <c r="H53" s="3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4"/>
      <c r="AE53" s="34"/>
      <c r="AF53" s="34"/>
      <c r="AG53" s="34"/>
      <c r="AH53" s="34"/>
      <c r="AI53" s="34"/>
      <c r="AJ53" s="34"/>
      <c r="AK53" s="34"/>
      <c r="AL53" s="34"/>
      <c r="AM53" s="34"/>
      <c r="AN53" s="34"/>
      <c r="AO53" s="34"/>
      <c r="AP53" s="34"/>
    </row>
    <row r="54" spans="1:42" ht="13.5" thickBot="1">
      <c r="A54" s="40" t="s">
        <v>495</v>
      </c>
      <c r="B54" s="41"/>
      <c r="C54" s="42"/>
      <c r="D54" s="88" t="s">
        <v>767</v>
      </c>
      <c r="E54" s="88" t="str">
        <f>D54</f>
        <v>NA</v>
      </c>
      <c r="F54" s="88" t="str">
        <f>E54</f>
        <v>NA</v>
      </c>
      <c r="G54" s="88" t="str">
        <f>F54</f>
        <v>NA</v>
      </c>
      <c r="H54" s="3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  <c r="AE54" s="34"/>
      <c r="AF54" s="34"/>
      <c r="AG54" s="34"/>
      <c r="AH54" s="34"/>
      <c r="AI54" s="34"/>
      <c r="AJ54" s="34"/>
      <c r="AK54" s="34"/>
      <c r="AL54" s="34"/>
      <c r="AM54" s="34"/>
      <c r="AN54" s="34"/>
      <c r="AO54" s="34"/>
      <c r="AP54" s="34"/>
    </row>
    <row r="55" spans="1:42" ht="13.5" thickBot="1">
      <c r="A55" s="22"/>
      <c r="B55" s="3"/>
      <c r="C55" s="3"/>
      <c r="D55" s="3"/>
      <c r="E55" s="3"/>
      <c r="F55" s="3"/>
      <c r="G55" s="3"/>
      <c r="H55" s="3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  <c r="AF55" s="34"/>
      <c r="AG55" s="34"/>
      <c r="AH55" s="34"/>
      <c r="AI55" s="34"/>
      <c r="AJ55" s="34"/>
      <c r="AK55" s="34"/>
      <c r="AL55" s="34"/>
      <c r="AM55" s="34"/>
      <c r="AN55" s="34"/>
      <c r="AO55" s="34"/>
      <c r="AP55" s="34"/>
    </row>
    <row r="56" spans="1:42" ht="13.5" thickBot="1">
      <c r="A56" s="40" t="s">
        <v>782</v>
      </c>
      <c r="B56" s="3"/>
      <c r="C56" s="3"/>
      <c r="D56" s="56">
        <f>'O&amp;M_Backup'!D262</f>
        <v>200000</v>
      </c>
      <c r="E56" s="264">
        <f>D56</f>
        <v>200000</v>
      </c>
      <c r="F56" s="264">
        <f>E56</f>
        <v>200000</v>
      </c>
      <c r="G56" s="264">
        <f>F56</f>
        <v>200000</v>
      </c>
      <c r="H56" s="3" t="s">
        <v>316</v>
      </c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34"/>
      <c r="AD56" s="34"/>
      <c r="AE56" s="34"/>
      <c r="AF56" s="34"/>
      <c r="AG56" s="34"/>
      <c r="AH56" s="34"/>
      <c r="AI56" s="34"/>
      <c r="AJ56" s="34"/>
      <c r="AK56" s="34"/>
      <c r="AL56" s="34"/>
      <c r="AM56" s="34"/>
      <c r="AN56" s="34"/>
      <c r="AO56" s="34"/>
      <c r="AP56" s="34"/>
    </row>
    <row r="57" spans="1:42">
      <c r="A57" s="3"/>
      <c r="B57" s="3"/>
      <c r="C57" s="3"/>
      <c r="D57" s="3"/>
      <c r="E57" s="3"/>
      <c r="F57" s="3"/>
      <c r="G57" s="3"/>
      <c r="H57" s="3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34"/>
      <c r="AD57" s="34"/>
      <c r="AE57" s="34"/>
      <c r="AF57" s="34"/>
      <c r="AG57" s="34"/>
      <c r="AH57" s="34"/>
      <c r="AI57" s="34"/>
      <c r="AJ57" s="34"/>
      <c r="AK57" s="34"/>
      <c r="AL57" s="34"/>
      <c r="AM57" s="34"/>
      <c r="AN57" s="34"/>
      <c r="AO57" s="34"/>
      <c r="AP57" s="34"/>
    </row>
    <row r="58" spans="1:42">
      <c r="A58" s="3"/>
      <c r="B58" s="3"/>
      <c r="C58" s="3"/>
      <c r="D58" s="3"/>
      <c r="E58" s="3"/>
      <c r="F58" s="3"/>
      <c r="G58" s="3"/>
      <c r="H58" s="3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  <c r="AE58" s="34"/>
      <c r="AF58" s="34"/>
      <c r="AG58" s="34"/>
      <c r="AH58" s="34"/>
      <c r="AI58" s="34"/>
      <c r="AJ58" s="34"/>
      <c r="AK58" s="34"/>
      <c r="AL58" s="34"/>
      <c r="AM58" s="34"/>
      <c r="AN58" s="34"/>
      <c r="AO58" s="34"/>
      <c r="AP58" s="34"/>
    </row>
    <row r="59" spans="1:42">
      <c r="A59" s="3"/>
      <c r="B59" s="3"/>
      <c r="C59" s="3"/>
      <c r="D59" s="3"/>
      <c r="E59" s="3"/>
      <c r="F59" s="3"/>
      <c r="G59" s="3"/>
      <c r="H59" s="3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4"/>
      <c r="AD59" s="34"/>
      <c r="AE59" s="34"/>
      <c r="AF59" s="34"/>
      <c r="AG59" s="34"/>
      <c r="AH59" s="34"/>
      <c r="AI59" s="34"/>
      <c r="AJ59" s="34"/>
      <c r="AK59" s="34"/>
      <c r="AL59" s="34"/>
      <c r="AM59" s="34"/>
      <c r="AN59" s="34"/>
      <c r="AO59" s="34"/>
      <c r="AP59" s="34"/>
    </row>
    <row r="60" spans="1:42">
      <c r="A60" s="3"/>
      <c r="B60" s="3"/>
      <c r="C60" s="3"/>
      <c r="D60" s="3"/>
      <c r="E60" s="3"/>
      <c r="F60" s="3"/>
      <c r="G60" s="3"/>
      <c r="H60" s="3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  <c r="AD60" s="34"/>
      <c r="AE60" s="34"/>
      <c r="AF60" s="34"/>
      <c r="AG60" s="34"/>
      <c r="AH60" s="34"/>
      <c r="AI60" s="34"/>
      <c r="AJ60" s="34"/>
      <c r="AK60" s="34"/>
      <c r="AL60" s="34"/>
      <c r="AM60" s="34"/>
      <c r="AN60" s="34"/>
      <c r="AO60" s="34"/>
      <c r="AP60" s="34"/>
    </row>
    <row r="61" spans="1:42">
      <c r="A61" s="3"/>
      <c r="B61" s="3"/>
      <c r="C61" s="3"/>
      <c r="D61" s="3"/>
      <c r="E61" s="3"/>
      <c r="F61" s="3"/>
      <c r="G61" s="3"/>
      <c r="H61" s="3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  <c r="AE61" s="34"/>
      <c r="AF61" s="34"/>
      <c r="AG61" s="34"/>
      <c r="AH61" s="34"/>
      <c r="AI61" s="34"/>
      <c r="AJ61" s="34"/>
      <c r="AK61" s="34"/>
      <c r="AL61" s="34"/>
      <c r="AM61" s="34"/>
      <c r="AN61" s="34"/>
      <c r="AO61" s="34"/>
      <c r="AP61" s="34"/>
    </row>
    <row r="62" spans="1:42">
      <c r="A62" s="3"/>
      <c r="B62" s="3"/>
      <c r="C62" s="3"/>
      <c r="D62" s="3"/>
      <c r="E62" s="3"/>
      <c r="F62" s="3"/>
      <c r="G62" s="3"/>
      <c r="H62" s="3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34"/>
      <c r="AD62" s="34"/>
      <c r="AE62" s="34"/>
      <c r="AF62" s="34"/>
      <c r="AG62" s="34"/>
      <c r="AH62" s="34"/>
      <c r="AI62" s="34"/>
      <c r="AJ62" s="34"/>
      <c r="AK62" s="34"/>
      <c r="AL62" s="34"/>
      <c r="AM62" s="34"/>
      <c r="AN62" s="34"/>
      <c r="AO62" s="34"/>
      <c r="AP62" s="34"/>
    </row>
    <row r="63" spans="1:42">
      <c r="A63" s="3"/>
      <c r="B63" s="3"/>
      <c r="C63" s="3"/>
      <c r="D63" s="3"/>
      <c r="E63" s="3"/>
      <c r="F63" s="3"/>
      <c r="G63" s="3"/>
      <c r="H63" s="3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4"/>
      <c r="AD63" s="34"/>
      <c r="AE63" s="34"/>
      <c r="AF63" s="34"/>
      <c r="AG63" s="34"/>
      <c r="AH63" s="34"/>
      <c r="AI63" s="34"/>
      <c r="AJ63" s="34"/>
      <c r="AK63" s="34"/>
      <c r="AL63" s="34"/>
      <c r="AM63" s="34"/>
      <c r="AN63" s="34"/>
      <c r="AO63" s="34"/>
      <c r="AP63" s="34"/>
    </row>
    <row r="64" spans="1:42">
      <c r="A64" s="3"/>
      <c r="B64" s="3"/>
      <c r="C64" s="3"/>
      <c r="D64" s="3"/>
      <c r="E64" s="3"/>
      <c r="F64" s="3"/>
      <c r="G64" s="3"/>
      <c r="H64" s="3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4"/>
      <c r="AD64" s="34"/>
      <c r="AE64" s="34"/>
      <c r="AF64" s="34"/>
      <c r="AG64" s="34"/>
      <c r="AH64" s="34"/>
      <c r="AI64" s="34"/>
      <c r="AJ64" s="34"/>
      <c r="AK64" s="34"/>
      <c r="AL64" s="34"/>
      <c r="AM64" s="34"/>
      <c r="AN64" s="34"/>
      <c r="AO64" s="34"/>
      <c r="AP64" s="34"/>
    </row>
    <row r="65" spans="1:42">
      <c r="A65" s="3"/>
      <c r="B65" s="3"/>
      <c r="C65" s="3"/>
      <c r="D65" s="3"/>
      <c r="E65" s="3"/>
      <c r="F65" s="3"/>
      <c r="G65" s="3"/>
      <c r="H65" s="3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34"/>
      <c r="AD65" s="34"/>
      <c r="AE65" s="34"/>
      <c r="AF65" s="34"/>
      <c r="AG65" s="34"/>
      <c r="AH65" s="34"/>
      <c r="AI65" s="34"/>
      <c r="AJ65" s="34"/>
      <c r="AK65" s="34"/>
      <c r="AL65" s="34"/>
      <c r="AM65" s="34"/>
      <c r="AN65" s="34"/>
      <c r="AO65" s="34"/>
      <c r="AP65" s="34"/>
    </row>
    <row r="66" spans="1:42">
      <c r="A66" s="3"/>
      <c r="B66" s="3"/>
      <c r="C66" s="3"/>
      <c r="D66" s="3"/>
      <c r="E66" s="3"/>
      <c r="F66" s="3"/>
      <c r="G66" s="3"/>
      <c r="H66" s="3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  <c r="AE66" s="34"/>
      <c r="AF66" s="34"/>
      <c r="AG66" s="34"/>
      <c r="AH66" s="34"/>
      <c r="AI66" s="34"/>
      <c r="AJ66" s="34"/>
      <c r="AK66" s="34"/>
      <c r="AL66" s="34"/>
      <c r="AM66" s="34"/>
      <c r="AN66" s="34"/>
      <c r="AO66" s="34"/>
      <c r="AP66" s="34"/>
    </row>
    <row r="67" spans="1:42">
      <c r="A67" s="3"/>
      <c r="B67" s="3"/>
      <c r="C67" s="3"/>
      <c r="D67" s="3"/>
      <c r="E67" s="3"/>
      <c r="F67" s="3"/>
      <c r="G67" s="3"/>
      <c r="H67" s="3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  <c r="AE67" s="34"/>
      <c r="AF67" s="34"/>
      <c r="AG67" s="34"/>
      <c r="AH67" s="34"/>
      <c r="AI67" s="34"/>
      <c r="AJ67" s="34"/>
      <c r="AK67" s="34"/>
      <c r="AL67" s="34"/>
      <c r="AM67" s="34"/>
      <c r="AN67" s="34"/>
      <c r="AO67" s="34"/>
      <c r="AP67" s="34"/>
    </row>
    <row r="68" spans="1:42">
      <c r="A68" s="3"/>
      <c r="B68" s="3"/>
      <c r="C68" s="3"/>
      <c r="D68" s="3"/>
      <c r="E68" s="3"/>
      <c r="F68" s="3"/>
      <c r="G68" s="3"/>
      <c r="H68" s="3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4"/>
      <c r="AC68" s="34"/>
      <c r="AD68" s="34"/>
      <c r="AE68" s="34"/>
      <c r="AF68" s="34"/>
      <c r="AG68" s="34"/>
      <c r="AH68" s="34"/>
      <c r="AI68" s="34"/>
      <c r="AJ68" s="34"/>
      <c r="AK68" s="34"/>
      <c r="AL68" s="34"/>
      <c r="AM68" s="34"/>
      <c r="AN68" s="34"/>
      <c r="AO68" s="34"/>
      <c r="AP68" s="34"/>
    </row>
    <row r="69" spans="1:42">
      <c r="A69" s="3"/>
      <c r="B69" s="3"/>
      <c r="C69" s="3"/>
      <c r="D69" s="3"/>
      <c r="E69" s="3"/>
      <c r="F69" s="3"/>
      <c r="G69" s="3"/>
      <c r="H69" s="3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34"/>
      <c r="AC69" s="34"/>
      <c r="AD69" s="34"/>
      <c r="AE69" s="34"/>
      <c r="AF69" s="34"/>
      <c r="AG69" s="34"/>
      <c r="AH69" s="34"/>
      <c r="AI69" s="34"/>
      <c r="AJ69" s="34"/>
      <c r="AK69" s="34"/>
      <c r="AL69" s="34"/>
      <c r="AM69" s="34"/>
      <c r="AN69" s="34"/>
      <c r="AO69" s="34"/>
      <c r="AP69" s="34"/>
    </row>
    <row r="70" spans="1:42">
      <c r="A70" s="3"/>
      <c r="B70" s="3"/>
      <c r="C70" s="3"/>
      <c r="D70" s="3"/>
      <c r="E70" s="3"/>
      <c r="F70" s="3"/>
      <c r="G70" s="3"/>
      <c r="H70" s="3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4"/>
      <c r="AC70" s="34"/>
      <c r="AD70" s="34"/>
      <c r="AE70" s="34"/>
      <c r="AF70" s="34"/>
      <c r="AG70" s="34"/>
      <c r="AH70" s="34"/>
      <c r="AI70" s="34"/>
      <c r="AJ70" s="34"/>
      <c r="AK70" s="34"/>
      <c r="AL70" s="34"/>
      <c r="AM70" s="34"/>
      <c r="AN70" s="34"/>
      <c r="AO70" s="34"/>
      <c r="AP70" s="34"/>
    </row>
    <row r="71" spans="1:42">
      <c r="A71" s="3"/>
      <c r="B71" s="3"/>
      <c r="C71" s="3"/>
      <c r="D71" s="3"/>
      <c r="E71" s="3"/>
      <c r="F71" s="3"/>
      <c r="G71" s="3"/>
      <c r="H71" s="3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4"/>
      <c r="AD71" s="34"/>
      <c r="AE71" s="34"/>
      <c r="AF71" s="34"/>
      <c r="AG71" s="34"/>
      <c r="AH71" s="34"/>
      <c r="AI71" s="34"/>
      <c r="AJ71" s="34"/>
      <c r="AK71" s="34"/>
      <c r="AL71" s="34"/>
      <c r="AM71" s="34"/>
      <c r="AN71" s="34"/>
      <c r="AO71" s="34"/>
      <c r="AP71" s="34"/>
    </row>
    <row r="72" spans="1:42">
      <c r="A72" s="3"/>
      <c r="B72" s="3"/>
      <c r="C72" s="3"/>
      <c r="D72" s="3"/>
      <c r="E72" s="3"/>
      <c r="F72" s="3"/>
      <c r="G72" s="3"/>
      <c r="H72" s="3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  <c r="AE72" s="34"/>
      <c r="AF72" s="34"/>
      <c r="AG72" s="34"/>
      <c r="AH72" s="34"/>
      <c r="AI72" s="34"/>
      <c r="AJ72" s="34"/>
      <c r="AK72" s="34"/>
      <c r="AL72" s="34"/>
      <c r="AM72" s="34"/>
      <c r="AN72" s="34"/>
      <c r="AO72" s="34"/>
      <c r="AP72" s="34"/>
    </row>
    <row r="73" spans="1:42">
      <c r="A73" s="3"/>
      <c r="B73" s="3"/>
      <c r="C73" s="3"/>
      <c r="D73" s="3"/>
      <c r="E73" s="3"/>
      <c r="F73" s="3"/>
      <c r="G73" s="3"/>
      <c r="H73" s="3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  <c r="AE73" s="34"/>
      <c r="AF73" s="34"/>
      <c r="AG73" s="34"/>
      <c r="AH73" s="34"/>
      <c r="AI73" s="34"/>
      <c r="AJ73" s="34"/>
      <c r="AK73" s="34"/>
      <c r="AL73" s="34"/>
      <c r="AM73" s="34"/>
      <c r="AN73" s="34"/>
      <c r="AO73" s="34"/>
      <c r="AP73" s="34"/>
    </row>
    <row r="74" spans="1:42">
      <c r="A74" s="3"/>
      <c r="B74" s="3"/>
      <c r="C74" s="3"/>
      <c r="D74" s="3"/>
      <c r="E74" s="3"/>
      <c r="F74" s="3"/>
      <c r="G74" s="3"/>
      <c r="H74" s="3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D74" s="34"/>
      <c r="AE74" s="34"/>
      <c r="AF74" s="34"/>
      <c r="AG74" s="34"/>
      <c r="AH74" s="34"/>
      <c r="AI74" s="34"/>
      <c r="AJ74" s="34"/>
      <c r="AK74" s="34"/>
      <c r="AL74" s="34"/>
      <c r="AM74" s="34"/>
      <c r="AN74" s="34"/>
      <c r="AO74" s="34"/>
      <c r="AP74" s="34"/>
    </row>
    <row r="75" spans="1:42">
      <c r="A75" s="3"/>
      <c r="B75" s="3"/>
      <c r="C75" s="3"/>
      <c r="D75" s="3"/>
      <c r="E75" s="3"/>
      <c r="F75" s="3"/>
      <c r="G75" s="3"/>
      <c r="H75" s="3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4"/>
      <c r="AC75" s="34"/>
      <c r="AD75" s="34"/>
      <c r="AE75" s="34"/>
      <c r="AF75" s="34"/>
      <c r="AG75" s="34"/>
      <c r="AH75" s="34"/>
      <c r="AI75" s="34"/>
      <c r="AJ75" s="34"/>
      <c r="AK75" s="34"/>
      <c r="AL75" s="34"/>
      <c r="AM75" s="34"/>
      <c r="AN75" s="34"/>
      <c r="AO75" s="34"/>
      <c r="AP75" s="34"/>
    </row>
    <row r="76" spans="1:42">
      <c r="A76" s="3"/>
      <c r="B76" s="3"/>
      <c r="C76" s="3"/>
      <c r="D76" s="3"/>
      <c r="E76" s="3"/>
      <c r="F76" s="3"/>
      <c r="G76" s="3"/>
      <c r="H76" s="3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34"/>
      <c r="AD76" s="34"/>
      <c r="AE76" s="34"/>
      <c r="AF76" s="34"/>
      <c r="AG76" s="34"/>
      <c r="AH76" s="34"/>
      <c r="AI76" s="34"/>
      <c r="AJ76" s="34"/>
      <c r="AK76" s="34"/>
      <c r="AL76" s="34"/>
      <c r="AM76" s="34"/>
      <c r="AN76" s="34"/>
      <c r="AO76" s="34"/>
      <c r="AP76" s="34"/>
    </row>
    <row r="77" spans="1:42">
      <c r="A77" s="3"/>
      <c r="B77" s="3"/>
      <c r="C77" s="3"/>
      <c r="D77" s="3"/>
      <c r="E77" s="3"/>
      <c r="F77" s="3"/>
      <c r="G77" s="3"/>
      <c r="H77" s="3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34"/>
      <c r="AD77" s="34"/>
      <c r="AE77" s="34"/>
      <c r="AF77" s="34"/>
      <c r="AG77" s="34"/>
      <c r="AH77" s="34"/>
      <c r="AI77" s="34"/>
      <c r="AJ77" s="34"/>
      <c r="AK77" s="34"/>
      <c r="AL77" s="34"/>
      <c r="AM77" s="34"/>
      <c r="AN77" s="34"/>
      <c r="AO77" s="34"/>
      <c r="AP77" s="34"/>
    </row>
    <row r="78" spans="1:42">
      <c r="A78" s="3"/>
      <c r="B78" s="3"/>
      <c r="C78" s="3"/>
      <c r="D78" s="3"/>
      <c r="E78" s="3"/>
      <c r="F78" s="3"/>
      <c r="G78" s="3"/>
      <c r="H78" s="3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34"/>
      <c r="AC78" s="34"/>
      <c r="AD78" s="34"/>
      <c r="AE78" s="34"/>
      <c r="AF78" s="34"/>
      <c r="AG78" s="34"/>
      <c r="AH78" s="34"/>
      <c r="AI78" s="34"/>
      <c r="AJ78" s="34"/>
      <c r="AK78" s="34"/>
      <c r="AL78" s="34"/>
      <c r="AM78" s="34"/>
      <c r="AN78" s="34"/>
      <c r="AO78" s="34"/>
      <c r="AP78" s="34"/>
    </row>
    <row r="79" spans="1:42">
      <c r="A79" s="3"/>
      <c r="B79" s="3"/>
      <c r="C79" s="3"/>
      <c r="D79" s="3"/>
      <c r="E79" s="3"/>
      <c r="F79" s="3"/>
      <c r="G79" s="3"/>
      <c r="H79" s="3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34"/>
      <c r="AD79" s="34"/>
      <c r="AE79" s="34"/>
      <c r="AF79" s="34"/>
      <c r="AG79" s="34"/>
      <c r="AH79" s="34"/>
      <c r="AI79" s="34"/>
      <c r="AJ79" s="34"/>
      <c r="AK79" s="34"/>
      <c r="AL79" s="34"/>
      <c r="AM79" s="34"/>
      <c r="AN79" s="34"/>
      <c r="AO79" s="34"/>
      <c r="AP79" s="34"/>
    </row>
    <row r="80" spans="1:42">
      <c r="A80" s="3"/>
      <c r="B80" s="3"/>
      <c r="C80" s="3"/>
      <c r="D80" s="3"/>
      <c r="E80" s="3"/>
      <c r="F80" s="3"/>
      <c r="G80" s="3"/>
      <c r="H80" s="3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  <c r="AB80" s="34"/>
      <c r="AC80" s="34"/>
      <c r="AD80" s="34"/>
      <c r="AE80" s="34"/>
      <c r="AF80" s="34"/>
      <c r="AG80" s="34"/>
      <c r="AH80" s="34"/>
      <c r="AI80" s="34"/>
      <c r="AJ80" s="34"/>
      <c r="AK80" s="34"/>
      <c r="AL80" s="34"/>
      <c r="AM80" s="34"/>
      <c r="AN80" s="34"/>
      <c r="AO80" s="34"/>
      <c r="AP80" s="34"/>
    </row>
    <row r="81" spans="1:42">
      <c r="A81" s="3"/>
      <c r="B81" s="3"/>
      <c r="C81" s="3"/>
      <c r="D81" s="3"/>
      <c r="E81" s="3"/>
      <c r="F81" s="3"/>
      <c r="G81" s="3"/>
      <c r="H81" s="3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  <c r="AB81" s="34"/>
      <c r="AC81" s="34"/>
      <c r="AD81" s="34"/>
      <c r="AE81" s="34"/>
      <c r="AF81" s="34"/>
      <c r="AG81" s="34"/>
      <c r="AH81" s="34"/>
      <c r="AI81" s="34"/>
      <c r="AJ81" s="34"/>
      <c r="AK81" s="34"/>
      <c r="AL81" s="34"/>
      <c r="AM81" s="34"/>
      <c r="AN81" s="34"/>
      <c r="AO81" s="34"/>
      <c r="AP81" s="34"/>
    </row>
    <row r="82" spans="1:42">
      <c r="A82" s="3"/>
      <c r="B82" s="3"/>
      <c r="C82" s="3"/>
      <c r="D82" s="3"/>
      <c r="E82" s="3"/>
      <c r="F82" s="3"/>
      <c r="G82" s="3"/>
      <c r="H82" s="3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  <c r="AB82" s="34"/>
      <c r="AC82" s="34"/>
      <c r="AD82" s="34"/>
      <c r="AE82" s="34"/>
      <c r="AF82" s="34"/>
      <c r="AG82" s="34"/>
      <c r="AH82" s="34"/>
      <c r="AI82" s="34"/>
      <c r="AJ82" s="34"/>
      <c r="AK82" s="34"/>
      <c r="AL82" s="34"/>
      <c r="AM82" s="34"/>
      <c r="AN82" s="34"/>
      <c r="AO82" s="34"/>
      <c r="AP82" s="34"/>
    </row>
    <row r="83" spans="1:42">
      <c r="A83" s="3"/>
      <c r="B83" s="3"/>
      <c r="C83" s="3"/>
      <c r="D83" s="3"/>
      <c r="E83" s="3"/>
      <c r="F83" s="3"/>
      <c r="G83" s="3"/>
      <c r="H83" s="3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  <c r="AB83" s="34"/>
      <c r="AC83" s="34"/>
      <c r="AD83" s="34"/>
      <c r="AE83" s="34"/>
      <c r="AF83" s="34"/>
      <c r="AG83" s="34"/>
      <c r="AH83" s="34"/>
      <c r="AI83" s="34"/>
      <c r="AJ83" s="34"/>
      <c r="AK83" s="34"/>
      <c r="AL83" s="34"/>
      <c r="AM83" s="34"/>
      <c r="AN83" s="34"/>
      <c r="AO83" s="34"/>
      <c r="AP83" s="34"/>
    </row>
    <row r="84" spans="1:42">
      <c r="A84" s="3"/>
      <c r="B84" s="3"/>
      <c r="C84" s="3"/>
      <c r="D84" s="3"/>
      <c r="E84" s="3"/>
      <c r="F84" s="3"/>
      <c r="G84" s="3"/>
      <c r="H84" s="3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  <c r="AB84" s="34"/>
      <c r="AC84" s="34"/>
      <c r="AD84" s="34"/>
      <c r="AE84" s="34"/>
      <c r="AF84" s="34"/>
      <c r="AG84" s="34"/>
      <c r="AH84" s="34"/>
      <c r="AI84" s="34"/>
      <c r="AJ84" s="34"/>
      <c r="AK84" s="34"/>
      <c r="AL84" s="34"/>
      <c r="AM84" s="34"/>
      <c r="AN84" s="34"/>
      <c r="AO84" s="34"/>
      <c r="AP84" s="34"/>
    </row>
    <row r="85" spans="1:42">
      <c r="A85" s="3"/>
      <c r="B85" s="3"/>
      <c r="C85" s="3"/>
      <c r="D85" s="3"/>
      <c r="E85" s="3"/>
      <c r="F85" s="3"/>
      <c r="G85" s="3"/>
      <c r="H85" s="3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  <c r="AB85" s="34"/>
      <c r="AC85" s="34"/>
      <c r="AD85" s="34"/>
      <c r="AE85" s="34"/>
      <c r="AF85" s="34"/>
      <c r="AG85" s="34"/>
      <c r="AH85" s="34"/>
      <c r="AI85" s="34"/>
      <c r="AJ85" s="34"/>
      <c r="AK85" s="34"/>
      <c r="AL85" s="34"/>
      <c r="AM85" s="34"/>
      <c r="AN85" s="34"/>
      <c r="AO85" s="34"/>
      <c r="AP85" s="34"/>
    </row>
    <row r="86" spans="1:42">
      <c r="A86" s="3"/>
      <c r="B86" s="3"/>
      <c r="C86" s="3"/>
      <c r="D86" s="3"/>
      <c r="E86" s="3"/>
      <c r="F86" s="3"/>
      <c r="G86" s="3"/>
      <c r="H86" s="3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  <c r="AA86" s="34"/>
      <c r="AB86" s="34"/>
      <c r="AC86" s="34"/>
      <c r="AD86" s="34"/>
      <c r="AE86" s="34"/>
      <c r="AF86" s="34"/>
      <c r="AG86" s="34"/>
      <c r="AH86" s="34"/>
      <c r="AI86" s="34"/>
      <c r="AJ86" s="34"/>
      <c r="AK86" s="34"/>
      <c r="AL86" s="34"/>
      <c r="AM86" s="34"/>
      <c r="AN86" s="34"/>
      <c r="AO86" s="34"/>
      <c r="AP86" s="34"/>
    </row>
    <row r="87" spans="1:42">
      <c r="A87" s="3"/>
      <c r="B87" s="3"/>
      <c r="C87" s="3"/>
      <c r="D87" s="3"/>
      <c r="E87" s="3"/>
      <c r="F87" s="3"/>
      <c r="G87" s="3"/>
      <c r="H87" s="3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  <c r="AA87" s="34"/>
      <c r="AB87" s="34"/>
      <c r="AC87" s="34"/>
      <c r="AD87" s="34"/>
      <c r="AE87" s="34"/>
      <c r="AF87" s="34"/>
      <c r="AG87" s="34"/>
      <c r="AH87" s="34"/>
      <c r="AI87" s="34"/>
      <c r="AJ87" s="34"/>
      <c r="AK87" s="34"/>
      <c r="AL87" s="34"/>
      <c r="AM87" s="34"/>
      <c r="AN87" s="34"/>
      <c r="AO87" s="34"/>
      <c r="AP87" s="34"/>
    </row>
    <row r="88" spans="1:42">
      <c r="A88" s="3"/>
      <c r="B88" s="3"/>
      <c r="C88" s="3"/>
      <c r="D88" s="3"/>
      <c r="E88" s="3"/>
      <c r="F88" s="3"/>
      <c r="G88" s="3"/>
      <c r="H88" s="3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  <c r="AA88" s="34"/>
      <c r="AB88" s="34"/>
      <c r="AC88" s="34"/>
      <c r="AD88" s="34"/>
      <c r="AE88" s="34"/>
      <c r="AF88" s="34"/>
      <c r="AG88" s="34"/>
      <c r="AH88" s="34"/>
      <c r="AI88" s="34"/>
      <c r="AJ88" s="34"/>
      <c r="AK88" s="34"/>
      <c r="AL88" s="34"/>
      <c r="AM88" s="34"/>
      <c r="AN88" s="34"/>
      <c r="AO88" s="34"/>
      <c r="AP88" s="34"/>
    </row>
    <row r="89" spans="1:42">
      <c r="A89" s="3"/>
      <c r="B89" s="3"/>
      <c r="C89" s="3"/>
      <c r="D89" s="3"/>
      <c r="E89" s="3"/>
      <c r="F89" s="3"/>
      <c r="G89" s="3"/>
      <c r="H89" s="3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  <c r="AA89" s="34"/>
      <c r="AB89" s="34"/>
      <c r="AC89" s="34"/>
      <c r="AD89" s="34"/>
      <c r="AE89" s="34"/>
      <c r="AF89" s="34"/>
      <c r="AG89" s="34"/>
      <c r="AH89" s="34"/>
      <c r="AI89" s="34"/>
      <c r="AJ89" s="34"/>
      <c r="AK89" s="34"/>
      <c r="AL89" s="34"/>
      <c r="AM89" s="34"/>
      <c r="AN89" s="34"/>
      <c r="AO89" s="34"/>
      <c r="AP89" s="34"/>
    </row>
    <row r="90" spans="1:42">
      <c r="A90" s="3"/>
      <c r="B90" s="3"/>
      <c r="C90" s="3"/>
      <c r="D90" s="3"/>
      <c r="E90" s="3"/>
      <c r="F90" s="3"/>
      <c r="G90" s="3"/>
      <c r="H90" s="3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  <c r="AB90" s="34"/>
      <c r="AC90" s="34"/>
      <c r="AD90" s="34"/>
      <c r="AE90" s="34"/>
      <c r="AF90" s="34"/>
      <c r="AG90" s="34"/>
      <c r="AH90" s="34"/>
      <c r="AI90" s="34"/>
      <c r="AJ90" s="34"/>
      <c r="AK90" s="34"/>
      <c r="AL90" s="34"/>
      <c r="AM90" s="34"/>
      <c r="AN90" s="34"/>
      <c r="AO90" s="34"/>
      <c r="AP90" s="34"/>
    </row>
    <row r="91" spans="1:42">
      <c r="A91" s="3"/>
      <c r="B91" s="3"/>
      <c r="C91" s="3"/>
      <c r="D91" s="3"/>
      <c r="E91" s="3"/>
      <c r="F91" s="3"/>
      <c r="G91" s="3"/>
      <c r="H91" s="3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  <c r="AB91" s="34"/>
      <c r="AC91" s="34"/>
      <c r="AD91" s="34"/>
      <c r="AE91" s="34"/>
      <c r="AF91" s="34"/>
      <c r="AG91" s="34"/>
      <c r="AH91" s="34"/>
      <c r="AI91" s="34"/>
      <c r="AJ91" s="34"/>
      <c r="AK91" s="34"/>
      <c r="AL91" s="34"/>
      <c r="AM91" s="34"/>
      <c r="AN91" s="34"/>
      <c r="AO91" s="34"/>
      <c r="AP91" s="34"/>
    </row>
    <row r="92" spans="1:42">
      <c r="A92" s="3"/>
      <c r="B92" s="3"/>
      <c r="C92" s="3"/>
      <c r="D92" s="3"/>
      <c r="E92" s="3"/>
      <c r="F92" s="3"/>
      <c r="G92" s="3"/>
      <c r="H92" s="3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  <c r="AB92" s="34"/>
      <c r="AC92" s="34"/>
      <c r="AD92" s="34"/>
      <c r="AE92" s="34"/>
      <c r="AF92" s="34"/>
      <c r="AG92" s="34"/>
      <c r="AH92" s="34"/>
      <c r="AI92" s="34"/>
      <c r="AJ92" s="34"/>
      <c r="AK92" s="34"/>
      <c r="AL92" s="34"/>
      <c r="AM92" s="34"/>
      <c r="AN92" s="34"/>
      <c r="AO92" s="34"/>
      <c r="AP92" s="34"/>
    </row>
    <row r="93" spans="1:42">
      <c r="A93" s="3"/>
      <c r="B93" s="3"/>
      <c r="C93" s="3"/>
      <c r="D93" s="3"/>
      <c r="E93" s="3"/>
      <c r="F93" s="3"/>
      <c r="G93" s="3"/>
      <c r="H93" s="3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  <c r="AA93" s="34"/>
      <c r="AB93" s="34"/>
      <c r="AC93" s="34"/>
      <c r="AD93" s="34"/>
      <c r="AE93" s="34"/>
      <c r="AF93" s="34"/>
      <c r="AG93" s="34"/>
      <c r="AH93" s="34"/>
      <c r="AI93" s="34"/>
      <c r="AJ93" s="34"/>
      <c r="AK93" s="34"/>
      <c r="AL93" s="34"/>
      <c r="AM93" s="34"/>
      <c r="AN93" s="34"/>
      <c r="AO93" s="34"/>
      <c r="AP93" s="34"/>
    </row>
    <row r="94" spans="1:42">
      <c r="A94" s="3"/>
      <c r="B94" s="3"/>
      <c r="C94" s="3"/>
      <c r="D94" s="3"/>
      <c r="E94" s="3"/>
      <c r="F94" s="3"/>
      <c r="G94" s="3"/>
      <c r="H94" s="3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  <c r="AA94" s="34"/>
      <c r="AB94" s="34"/>
      <c r="AC94" s="34"/>
      <c r="AD94" s="34"/>
      <c r="AE94" s="34"/>
      <c r="AF94" s="34"/>
      <c r="AG94" s="34"/>
      <c r="AH94" s="34"/>
      <c r="AI94" s="34"/>
      <c r="AJ94" s="34"/>
      <c r="AK94" s="34"/>
      <c r="AL94" s="34"/>
      <c r="AM94" s="34"/>
      <c r="AN94" s="34"/>
      <c r="AO94" s="34"/>
      <c r="AP94" s="34"/>
    </row>
    <row r="95" spans="1:42">
      <c r="A95" s="3"/>
      <c r="B95" s="3"/>
      <c r="C95" s="3"/>
      <c r="D95" s="3"/>
      <c r="E95" s="3"/>
      <c r="F95" s="3"/>
      <c r="G95" s="3"/>
      <c r="H95" s="3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  <c r="AA95" s="34"/>
      <c r="AB95" s="34"/>
      <c r="AC95" s="34"/>
      <c r="AD95" s="34"/>
      <c r="AE95" s="34"/>
      <c r="AF95" s="34"/>
      <c r="AG95" s="34"/>
      <c r="AH95" s="34"/>
      <c r="AI95" s="34"/>
      <c r="AJ95" s="34"/>
      <c r="AK95" s="34"/>
      <c r="AL95" s="34"/>
      <c r="AM95" s="34"/>
      <c r="AN95" s="34"/>
      <c r="AO95" s="34"/>
      <c r="AP95" s="34"/>
    </row>
    <row r="96" spans="1:42">
      <c r="A96" s="3"/>
      <c r="B96" s="3"/>
      <c r="C96" s="3"/>
      <c r="D96" s="3"/>
      <c r="E96" s="3"/>
      <c r="F96" s="3"/>
      <c r="G96" s="3"/>
      <c r="H96" s="3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  <c r="AA96" s="34"/>
      <c r="AB96" s="34"/>
      <c r="AC96" s="34"/>
      <c r="AD96" s="34"/>
      <c r="AE96" s="34"/>
      <c r="AF96" s="34"/>
      <c r="AG96" s="34"/>
      <c r="AH96" s="34"/>
      <c r="AI96" s="34"/>
      <c r="AJ96" s="34"/>
      <c r="AK96" s="34"/>
      <c r="AL96" s="34"/>
      <c r="AM96" s="34"/>
      <c r="AN96" s="34"/>
      <c r="AO96" s="34"/>
      <c r="AP96" s="34"/>
    </row>
    <row r="97" spans="1:42">
      <c r="A97" s="3"/>
      <c r="B97" s="3"/>
      <c r="C97" s="3"/>
      <c r="D97" s="3"/>
      <c r="E97" s="3"/>
      <c r="F97" s="3"/>
      <c r="G97" s="3"/>
      <c r="H97" s="3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4"/>
      <c r="AF97" s="34"/>
      <c r="AG97" s="34"/>
      <c r="AH97" s="34"/>
      <c r="AI97" s="34"/>
      <c r="AJ97" s="34"/>
      <c r="AK97" s="34"/>
      <c r="AL97" s="34"/>
      <c r="AM97" s="34"/>
      <c r="AN97" s="34"/>
      <c r="AO97" s="34"/>
      <c r="AP97" s="34"/>
    </row>
    <row r="98" spans="1:42">
      <c r="A98" s="3"/>
      <c r="B98" s="3"/>
      <c r="C98" s="3"/>
      <c r="D98" s="3"/>
      <c r="E98" s="3"/>
      <c r="F98" s="3"/>
      <c r="G98" s="3"/>
      <c r="H98" s="3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  <c r="AB98" s="34"/>
      <c r="AC98" s="34"/>
      <c r="AD98" s="34"/>
      <c r="AE98" s="34"/>
      <c r="AF98" s="34"/>
      <c r="AG98" s="34"/>
      <c r="AH98" s="34"/>
      <c r="AI98" s="34"/>
      <c r="AJ98" s="34"/>
      <c r="AK98" s="34"/>
      <c r="AL98" s="34"/>
      <c r="AM98" s="34"/>
      <c r="AN98" s="34"/>
      <c r="AO98" s="34"/>
      <c r="AP98" s="34"/>
    </row>
    <row r="99" spans="1:42">
      <c r="A99" s="3"/>
      <c r="B99" s="3"/>
      <c r="C99" s="3"/>
      <c r="D99" s="3"/>
      <c r="E99" s="3"/>
      <c r="F99" s="3"/>
      <c r="G99" s="3"/>
      <c r="H99" s="3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  <c r="AA99" s="34"/>
      <c r="AB99" s="34"/>
      <c r="AC99" s="34"/>
      <c r="AD99" s="34"/>
      <c r="AE99" s="34"/>
      <c r="AF99" s="34"/>
      <c r="AG99" s="34"/>
      <c r="AH99" s="34"/>
      <c r="AI99" s="34"/>
      <c r="AJ99" s="34"/>
      <c r="AK99" s="34"/>
      <c r="AL99" s="34"/>
      <c r="AM99" s="34"/>
      <c r="AN99" s="34"/>
      <c r="AO99" s="34"/>
      <c r="AP99" s="34"/>
    </row>
    <row r="100" spans="1:42">
      <c r="A100" s="3"/>
      <c r="B100" s="3"/>
      <c r="C100" s="3"/>
      <c r="D100" s="3"/>
      <c r="E100" s="3"/>
      <c r="F100" s="3"/>
      <c r="G100" s="3"/>
      <c r="H100" s="3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  <c r="AB100" s="34"/>
      <c r="AC100" s="34"/>
      <c r="AD100" s="34"/>
      <c r="AE100" s="34"/>
      <c r="AF100" s="34"/>
      <c r="AG100" s="34"/>
      <c r="AH100" s="34"/>
      <c r="AI100" s="34"/>
      <c r="AJ100" s="34"/>
      <c r="AK100" s="34"/>
      <c r="AL100" s="34"/>
      <c r="AM100" s="34"/>
      <c r="AN100" s="34"/>
      <c r="AO100" s="34"/>
      <c r="AP100" s="34"/>
    </row>
    <row r="101" spans="1:42">
      <c r="A101" s="3"/>
      <c r="B101" s="3"/>
      <c r="C101" s="3"/>
      <c r="D101" s="3"/>
      <c r="E101" s="3"/>
      <c r="F101" s="3"/>
      <c r="G101" s="3"/>
      <c r="H101" s="3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  <c r="Z101" s="34"/>
      <c r="AA101" s="34"/>
      <c r="AB101" s="34"/>
      <c r="AC101" s="34"/>
      <c r="AD101" s="34"/>
      <c r="AE101" s="34"/>
      <c r="AF101" s="34"/>
      <c r="AG101" s="34"/>
      <c r="AH101" s="34"/>
      <c r="AI101" s="34"/>
      <c r="AJ101" s="34"/>
      <c r="AK101" s="34"/>
      <c r="AL101" s="34"/>
      <c r="AM101" s="34"/>
      <c r="AN101" s="34"/>
      <c r="AO101" s="34"/>
      <c r="AP101" s="34"/>
    </row>
    <row r="102" spans="1:42">
      <c r="A102" s="3"/>
      <c r="B102" s="3"/>
      <c r="C102" s="3"/>
      <c r="D102" s="3"/>
      <c r="E102" s="3"/>
      <c r="F102" s="3"/>
      <c r="G102" s="3"/>
      <c r="H102" s="3"/>
      <c r="I102" s="34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  <c r="X102" s="34"/>
      <c r="Y102" s="34"/>
      <c r="Z102" s="34"/>
      <c r="AA102" s="34"/>
      <c r="AB102" s="34"/>
      <c r="AC102" s="34"/>
      <c r="AD102" s="34"/>
      <c r="AE102" s="34"/>
      <c r="AF102" s="34"/>
      <c r="AG102" s="34"/>
      <c r="AH102" s="34"/>
      <c r="AI102" s="34"/>
      <c r="AJ102" s="34"/>
      <c r="AK102" s="34"/>
      <c r="AL102" s="34"/>
      <c r="AM102" s="34"/>
      <c r="AN102" s="34"/>
      <c r="AO102" s="34"/>
      <c r="AP102" s="34"/>
    </row>
    <row r="103" spans="1:42">
      <c r="A103" s="3"/>
      <c r="B103" s="3"/>
      <c r="C103" s="3"/>
      <c r="D103" s="3"/>
      <c r="E103" s="3"/>
      <c r="F103" s="3"/>
      <c r="G103" s="3"/>
      <c r="H103" s="3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  <c r="X103" s="34"/>
      <c r="Y103" s="34"/>
      <c r="Z103" s="34"/>
      <c r="AA103" s="34"/>
      <c r="AB103" s="34"/>
      <c r="AC103" s="34"/>
      <c r="AD103" s="34"/>
      <c r="AE103" s="34"/>
      <c r="AF103" s="34"/>
      <c r="AG103" s="34"/>
      <c r="AH103" s="34"/>
      <c r="AI103" s="34"/>
      <c r="AJ103" s="34"/>
      <c r="AK103" s="34"/>
      <c r="AL103" s="34"/>
      <c r="AM103" s="34"/>
      <c r="AN103" s="34"/>
      <c r="AO103" s="34"/>
      <c r="AP103" s="34"/>
    </row>
    <row r="104" spans="1:42">
      <c r="A104" s="3"/>
      <c r="B104" s="3"/>
      <c r="C104" s="3"/>
      <c r="D104" s="3"/>
      <c r="E104" s="3"/>
      <c r="F104" s="3"/>
      <c r="G104" s="3"/>
      <c r="H104" s="3"/>
      <c r="I104" s="34"/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  <c r="AA104" s="34"/>
      <c r="AB104" s="34"/>
      <c r="AC104" s="34"/>
      <c r="AD104" s="34"/>
      <c r="AE104" s="34"/>
      <c r="AF104" s="34"/>
      <c r="AG104" s="34"/>
      <c r="AH104" s="34"/>
      <c r="AI104" s="34"/>
      <c r="AJ104" s="34"/>
      <c r="AK104" s="34"/>
      <c r="AL104" s="34"/>
      <c r="AM104" s="34"/>
      <c r="AN104" s="34"/>
      <c r="AO104" s="34"/>
      <c r="AP104" s="34"/>
    </row>
    <row r="105" spans="1:42">
      <c r="A105" s="3"/>
      <c r="B105" s="3"/>
      <c r="C105" s="3"/>
      <c r="D105" s="3"/>
      <c r="E105" s="3"/>
      <c r="F105" s="3"/>
      <c r="G105" s="3"/>
      <c r="H105" s="3"/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  <c r="X105" s="34"/>
      <c r="Y105" s="34"/>
      <c r="Z105" s="34"/>
      <c r="AA105" s="34"/>
      <c r="AB105" s="34"/>
      <c r="AC105" s="34"/>
      <c r="AD105" s="34"/>
      <c r="AE105" s="34"/>
      <c r="AF105" s="34"/>
      <c r="AG105" s="34"/>
      <c r="AH105" s="34"/>
      <c r="AI105" s="34"/>
      <c r="AJ105" s="34"/>
      <c r="AK105" s="34"/>
      <c r="AL105" s="34"/>
      <c r="AM105" s="34"/>
      <c r="AN105" s="34"/>
      <c r="AO105" s="34"/>
      <c r="AP105" s="34"/>
    </row>
    <row r="106" spans="1:42">
      <c r="A106" s="3"/>
      <c r="B106" s="3"/>
      <c r="C106" s="3"/>
      <c r="D106" s="3"/>
      <c r="E106" s="3"/>
      <c r="F106" s="3"/>
      <c r="G106" s="3"/>
      <c r="H106" s="3"/>
      <c r="I106" s="34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34"/>
      <c r="AA106" s="34"/>
      <c r="AB106" s="34"/>
      <c r="AC106" s="34"/>
      <c r="AD106" s="34"/>
      <c r="AE106" s="34"/>
      <c r="AF106" s="34"/>
      <c r="AG106" s="34"/>
      <c r="AH106" s="34"/>
      <c r="AI106" s="34"/>
      <c r="AJ106" s="34"/>
      <c r="AK106" s="34"/>
      <c r="AL106" s="34"/>
      <c r="AM106" s="34"/>
      <c r="AN106" s="34"/>
      <c r="AO106" s="34"/>
      <c r="AP106" s="34"/>
    </row>
    <row r="107" spans="1:42">
      <c r="A107" s="3"/>
      <c r="B107" s="3"/>
      <c r="C107" s="3"/>
      <c r="D107" s="3"/>
      <c r="E107" s="3"/>
      <c r="F107" s="3"/>
      <c r="G107" s="3"/>
      <c r="H107" s="3"/>
      <c r="I107" s="34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34"/>
      <c r="W107" s="34"/>
      <c r="X107" s="34"/>
      <c r="Y107" s="34"/>
      <c r="Z107" s="34"/>
      <c r="AA107" s="34"/>
      <c r="AB107" s="34"/>
      <c r="AC107" s="34"/>
      <c r="AD107" s="34"/>
      <c r="AE107" s="34"/>
      <c r="AF107" s="34"/>
      <c r="AG107" s="34"/>
      <c r="AH107" s="34"/>
      <c r="AI107" s="34"/>
      <c r="AJ107" s="34"/>
      <c r="AK107" s="34"/>
      <c r="AL107" s="34"/>
      <c r="AM107" s="34"/>
      <c r="AN107" s="34"/>
      <c r="AO107" s="34"/>
      <c r="AP107" s="34"/>
    </row>
    <row r="108" spans="1:42">
      <c r="A108" s="3"/>
      <c r="B108" s="3"/>
      <c r="C108" s="3"/>
      <c r="D108" s="3"/>
      <c r="E108" s="3"/>
      <c r="F108" s="3"/>
      <c r="G108" s="3"/>
      <c r="H108" s="3"/>
      <c r="I108" s="34"/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34"/>
      <c r="V108" s="34"/>
      <c r="W108" s="34"/>
      <c r="X108" s="34"/>
      <c r="Y108" s="34"/>
      <c r="Z108" s="34"/>
      <c r="AA108" s="34"/>
      <c r="AB108" s="34"/>
      <c r="AC108" s="34"/>
      <c r="AD108" s="34"/>
      <c r="AE108" s="34"/>
      <c r="AF108" s="34"/>
      <c r="AG108" s="34"/>
      <c r="AH108" s="34"/>
      <c r="AI108" s="34"/>
      <c r="AJ108" s="34"/>
      <c r="AK108" s="34"/>
      <c r="AL108" s="34"/>
      <c r="AM108" s="34"/>
      <c r="AN108" s="34"/>
      <c r="AO108" s="34"/>
      <c r="AP108" s="34"/>
    </row>
    <row r="109" spans="1:42">
      <c r="A109" s="3"/>
      <c r="B109" s="3"/>
      <c r="C109" s="3"/>
      <c r="D109" s="3"/>
      <c r="E109" s="3"/>
      <c r="F109" s="3"/>
      <c r="G109" s="3"/>
      <c r="H109" s="3"/>
      <c r="I109" s="34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4"/>
      <c r="X109" s="34"/>
      <c r="Y109" s="34"/>
      <c r="Z109" s="34"/>
      <c r="AA109" s="34"/>
      <c r="AB109" s="34"/>
      <c r="AC109" s="34"/>
      <c r="AD109" s="34"/>
      <c r="AE109" s="34"/>
      <c r="AF109" s="34"/>
      <c r="AG109" s="34"/>
      <c r="AH109" s="34"/>
      <c r="AI109" s="34"/>
      <c r="AJ109" s="34"/>
      <c r="AK109" s="34"/>
      <c r="AL109" s="34"/>
      <c r="AM109" s="34"/>
      <c r="AN109" s="34"/>
      <c r="AO109" s="34"/>
      <c r="AP109" s="34"/>
    </row>
    <row r="110" spans="1:42">
      <c r="A110" s="3"/>
      <c r="B110" s="3"/>
      <c r="C110" s="3"/>
      <c r="D110" s="3"/>
      <c r="E110" s="3"/>
      <c r="F110" s="3"/>
      <c r="G110" s="3"/>
      <c r="H110" s="3"/>
      <c r="I110" s="34"/>
      <c r="J110" s="34"/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U110" s="34"/>
      <c r="V110" s="34"/>
      <c r="W110" s="34"/>
      <c r="X110" s="34"/>
      <c r="Y110" s="34"/>
      <c r="Z110" s="34"/>
      <c r="AA110" s="34"/>
      <c r="AB110" s="34"/>
      <c r="AC110" s="34"/>
      <c r="AD110" s="34"/>
      <c r="AE110" s="34"/>
      <c r="AF110" s="34"/>
      <c r="AG110" s="34"/>
      <c r="AH110" s="34"/>
      <c r="AI110" s="34"/>
      <c r="AJ110" s="34"/>
      <c r="AK110" s="34"/>
      <c r="AL110" s="34"/>
      <c r="AM110" s="34"/>
      <c r="AN110" s="34"/>
      <c r="AO110" s="34"/>
      <c r="AP110" s="34"/>
    </row>
    <row r="111" spans="1:42">
      <c r="A111" s="3"/>
      <c r="B111" s="3"/>
      <c r="C111" s="3"/>
      <c r="D111" s="3"/>
      <c r="E111" s="3"/>
      <c r="F111" s="3"/>
      <c r="G111" s="3"/>
      <c r="H111" s="3"/>
      <c r="I111" s="34"/>
      <c r="J111" s="3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4"/>
      <c r="V111" s="34"/>
      <c r="W111" s="34"/>
      <c r="X111" s="34"/>
      <c r="Y111" s="34"/>
      <c r="Z111" s="34"/>
      <c r="AA111" s="34"/>
      <c r="AB111" s="34"/>
      <c r="AC111" s="34"/>
      <c r="AD111" s="34"/>
      <c r="AE111" s="34"/>
      <c r="AF111" s="34"/>
      <c r="AG111" s="34"/>
      <c r="AH111" s="34"/>
      <c r="AI111" s="34"/>
      <c r="AJ111" s="34"/>
      <c r="AK111" s="34"/>
      <c r="AL111" s="34"/>
      <c r="AM111" s="34"/>
      <c r="AN111" s="34"/>
      <c r="AO111" s="34"/>
      <c r="AP111" s="34"/>
    </row>
    <row r="112" spans="1:42">
      <c r="A112" s="3"/>
      <c r="B112" s="3"/>
      <c r="C112" s="3"/>
      <c r="D112" s="3"/>
      <c r="E112" s="3"/>
      <c r="F112" s="3"/>
      <c r="G112" s="3"/>
      <c r="H112" s="3"/>
      <c r="I112" s="34"/>
      <c r="J112" s="34"/>
      <c r="K112" s="34"/>
      <c r="L112" s="34"/>
      <c r="M112" s="34"/>
      <c r="N112" s="34"/>
      <c r="O112" s="34"/>
      <c r="P112" s="34"/>
      <c r="Q112" s="34"/>
      <c r="R112" s="34"/>
      <c r="S112" s="34"/>
      <c r="T112" s="34"/>
      <c r="U112" s="34"/>
      <c r="V112" s="34"/>
      <c r="W112" s="34"/>
      <c r="X112" s="34"/>
      <c r="Y112" s="34"/>
      <c r="Z112" s="34"/>
      <c r="AA112" s="34"/>
      <c r="AB112" s="34"/>
      <c r="AC112" s="34"/>
      <c r="AD112" s="34"/>
      <c r="AE112" s="34"/>
      <c r="AF112" s="34"/>
      <c r="AG112" s="34"/>
      <c r="AH112" s="34"/>
      <c r="AI112" s="34"/>
      <c r="AJ112" s="34"/>
      <c r="AK112" s="34"/>
      <c r="AL112" s="34"/>
      <c r="AM112" s="34"/>
      <c r="AN112" s="34"/>
      <c r="AO112" s="34"/>
      <c r="AP112" s="34"/>
    </row>
    <row r="113" spans="1:42">
      <c r="A113" s="3"/>
      <c r="B113" s="3"/>
      <c r="C113" s="3"/>
      <c r="D113" s="3"/>
      <c r="E113" s="3"/>
      <c r="F113" s="3"/>
      <c r="G113" s="3"/>
      <c r="H113" s="3"/>
      <c r="I113" s="34"/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4"/>
      <c r="V113" s="34"/>
      <c r="W113" s="34"/>
      <c r="X113" s="34"/>
      <c r="Y113" s="34"/>
      <c r="Z113" s="34"/>
      <c r="AA113" s="34"/>
      <c r="AB113" s="34"/>
      <c r="AC113" s="34"/>
      <c r="AD113" s="34"/>
      <c r="AE113" s="34"/>
      <c r="AF113" s="34"/>
      <c r="AG113" s="34"/>
      <c r="AH113" s="34"/>
      <c r="AI113" s="34"/>
      <c r="AJ113" s="34"/>
      <c r="AK113" s="34"/>
      <c r="AL113" s="34"/>
      <c r="AM113" s="34"/>
      <c r="AN113" s="34"/>
      <c r="AO113" s="34"/>
      <c r="AP113" s="34"/>
    </row>
    <row r="114" spans="1:42">
      <c r="A114" s="3"/>
      <c r="B114" s="3"/>
      <c r="C114" s="3"/>
      <c r="D114" s="3"/>
      <c r="E114" s="3"/>
      <c r="F114" s="3"/>
      <c r="G114" s="3"/>
      <c r="H114" s="3"/>
      <c r="I114" s="34"/>
      <c r="J114" s="34"/>
      <c r="K114" s="34"/>
      <c r="L114" s="34"/>
      <c r="M114" s="34"/>
      <c r="N114" s="34"/>
      <c r="O114" s="34"/>
      <c r="P114" s="34"/>
      <c r="Q114" s="34"/>
      <c r="R114" s="34"/>
      <c r="S114" s="34"/>
      <c r="T114" s="34"/>
      <c r="U114" s="34"/>
      <c r="V114" s="34"/>
      <c r="W114" s="34"/>
      <c r="X114" s="34"/>
      <c r="Y114" s="34"/>
      <c r="Z114" s="34"/>
      <c r="AA114" s="34"/>
      <c r="AB114" s="34"/>
      <c r="AC114" s="34"/>
      <c r="AD114" s="34"/>
      <c r="AE114" s="34"/>
      <c r="AF114" s="34"/>
      <c r="AG114" s="34"/>
      <c r="AH114" s="34"/>
      <c r="AI114" s="34"/>
      <c r="AJ114" s="34"/>
      <c r="AK114" s="34"/>
      <c r="AL114" s="34"/>
      <c r="AM114" s="34"/>
      <c r="AN114" s="34"/>
      <c r="AO114" s="34"/>
      <c r="AP114" s="34"/>
    </row>
    <row r="115" spans="1:42">
      <c r="A115" s="3"/>
      <c r="B115" s="3"/>
      <c r="C115" s="3"/>
      <c r="D115" s="3"/>
      <c r="E115" s="3"/>
      <c r="F115" s="3"/>
      <c r="G115" s="3"/>
      <c r="H115" s="3"/>
      <c r="I115" s="34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/>
      <c r="Z115" s="34"/>
      <c r="AA115" s="34"/>
      <c r="AB115" s="34"/>
      <c r="AC115" s="34"/>
      <c r="AD115" s="34"/>
      <c r="AE115" s="34"/>
      <c r="AF115" s="34"/>
      <c r="AG115" s="34"/>
      <c r="AH115" s="34"/>
      <c r="AI115" s="34"/>
      <c r="AJ115" s="34"/>
      <c r="AK115" s="34"/>
      <c r="AL115" s="34"/>
      <c r="AM115" s="34"/>
      <c r="AN115" s="34"/>
      <c r="AO115" s="34"/>
      <c r="AP115" s="34"/>
    </row>
    <row r="116" spans="1:42">
      <c r="A116" s="3"/>
      <c r="B116" s="3"/>
      <c r="C116" s="3"/>
      <c r="D116" s="3"/>
      <c r="E116" s="3"/>
      <c r="F116" s="3"/>
      <c r="G116" s="3"/>
      <c r="H116" s="3"/>
      <c r="I116" s="34"/>
      <c r="J116" s="34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4"/>
      <c r="AA116" s="34"/>
      <c r="AB116" s="34"/>
      <c r="AC116" s="34"/>
      <c r="AD116" s="34"/>
      <c r="AE116" s="34"/>
      <c r="AF116" s="34"/>
      <c r="AG116" s="34"/>
      <c r="AH116" s="34"/>
      <c r="AI116" s="34"/>
      <c r="AJ116" s="34"/>
      <c r="AK116" s="34"/>
      <c r="AL116" s="34"/>
      <c r="AM116" s="34"/>
      <c r="AN116" s="34"/>
      <c r="AO116" s="34"/>
      <c r="AP116" s="34"/>
    </row>
    <row r="117" spans="1:42">
      <c r="A117" s="3"/>
      <c r="B117" s="3"/>
      <c r="C117" s="3"/>
      <c r="D117" s="3"/>
      <c r="E117" s="3"/>
      <c r="F117" s="3"/>
      <c r="G117" s="3"/>
      <c r="H117" s="3"/>
      <c r="I117" s="34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/>
      <c r="Z117" s="34"/>
      <c r="AA117" s="34"/>
      <c r="AB117" s="34"/>
      <c r="AC117" s="34"/>
      <c r="AD117" s="34"/>
      <c r="AE117" s="34"/>
      <c r="AF117" s="34"/>
      <c r="AG117" s="34"/>
      <c r="AH117" s="34"/>
      <c r="AI117" s="34"/>
      <c r="AJ117" s="34"/>
      <c r="AK117" s="34"/>
      <c r="AL117" s="34"/>
      <c r="AM117" s="34"/>
      <c r="AN117" s="34"/>
      <c r="AO117" s="34"/>
      <c r="AP117" s="34"/>
    </row>
    <row r="118" spans="1:42">
      <c r="A118" s="3"/>
      <c r="B118" s="3"/>
      <c r="C118" s="3"/>
      <c r="D118" s="3"/>
      <c r="E118" s="3"/>
      <c r="F118" s="3"/>
      <c r="G118" s="3"/>
      <c r="H118" s="3"/>
      <c r="I118" s="34"/>
      <c r="J118" s="34"/>
      <c r="K118" s="34"/>
      <c r="L118" s="34"/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34"/>
      <c r="Z118" s="34"/>
      <c r="AA118" s="34"/>
      <c r="AB118" s="34"/>
      <c r="AC118" s="34"/>
      <c r="AD118" s="34"/>
      <c r="AE118" s="34"/>
      <c r="AF118" s="34"/>
      <c r="AG118" s="34"/>
      <c r="AH118" s="34"/>
      <c r="AI118" s="34"/>
      <c r="AJ118" s="34"/>
      <c r="AK118" s="34"/>
      <c r="AL118" s="34"/>
      <c r="AM118" s="34"/>
      <c r="AN118" s="34"/>
      <c r="AO118" s="34"/>
      <c r="AP118" s="34"/>
    </row>
    <row r="119" spans="1:42">
      <c r="A119" s="3"/>
      <c r="B119" s="3"/>
      <c r="C119" s="3"/>
      <c r="D119" s="3"/>
      <c r="E119" s="3"/>
      <c r="F119" s="3"/>
      <c r="G119" s="3"/>
      <c r="H119" s="3"/>
      <c r="I119" s="34"/>
      <c r="J119" s="34"/>
      <c r="K119" s="34"/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34"/>
      <c r="W119" s="34"/>
      <c r="X119" s="34"/>
      <c r="Y119" s="34"/>
      <c r="Z119" s="34"/>
      <c r="AA119" s="34"/>
      <c r="AB119" s="34"/>
      <c r="AC119" s="34"/>
      <c r="AD119" s="34"/>
      <c r="AE119" s="34"/>
      <c r="AF119" s="34"/>
      <c r="AG119" s="34"/>
      <c r="AH119" s="34"/>
      <c r="AI119" s="34"/>
      <c r="AJ119" s="34"/>
      <c r="AK119" s="34"/>
      <c r="AL119" s="34"/>
      <c r="AM119" s="34"/>
      <c r="AN119" s="34"/>
      <c r="AO119" s="34"/>
      <c r="AP119" s="34"/>
    </row>
    <row r="120" spans="1:42">
      <c r="A120" s="3"/>
      <c r="B120" s="3"/>
      <c r="C120" s="3"/>
      <c r="D120" s="3"/>
      <c r="E120" s="3"/>
      <c r="F120" s="3"/>
      <c r="G120" s="3"/>
      <c r="H120" s="3"/>
      <c r="I120" s="34"/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4"/>
      <c r="AA120" s="34"/>
      <c r="AB120" s="34"/>
      <c r="AC120" s="34"/>
      <c r="AD120" s="34"/>
      <c r="AE120" s="34"/>
      <c r="AF120" s="34"/>
      <c r="AG120" s="34"/>
      <c r="AH120" s="34"/>
      <c r="AI120" s="34"/>
      <c r="AJ120" s="34"/>
      <c r="AK120" s="34"/>
      <c r="AL120" s="34"/>
      <c r="AM120" s="34"/>
      <c r="AN120" s="34"/>
      <c r="AO120" s="34"/>
      <c r="AP120" s="34"/>
    </row>
    <row r="121" spans="1:42">
      <c r="A121" s="3"/>
      <c r="B121" s="3"/>
      <c r="C121" s="3"/>
      <c r="D121" s="3"/>
      <c r="E121" s="3"/>
      <c r="F121" s="3"/>
      <c r="G121" s="3"/>
      <c r="H121" s="3"/>
      <c r="I121" s="34"/>
      <c r="J121" s="3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  <c r="Z121" s="34"/>
      <c r="AA121" s="34"/>
      <c r="AB121" s="34"/>
      <c r="AC121" s="34"/>
      <c r="AD121" s="34"/>
      <c r="AE121" s="34"/>
      <c r="AF121" s="34"/>
      <c r="AG121" s="34"/>
      <c r="AH121" s="34"/>
      <c r="AI121" s="34"/>
      <c r="AJ121" s="34"/>
      <c r="AK121" s="34"/>
      <c r="AL121" s="34"/>
      <c r="AM121" s="34"/>
      <c r="AN121" s="34"/>
      <c r="AO121" s="34"/>
      <c r="AP121" s="34"/>
    </row>
    <row r="122" spans="1:42">
      <c r="A122" s="3"/>
      <c r="B122" s="3"/>
      <c r="C122" s="3"/>
      <c r="D122" s="3"/>
      <c r="E122" s="3"/>
      <c r="F122" s="3"/>
      <c r="G122" s="3"/>
      <c r="H122" s="3"/>
      <c r="I122" s="34"/>
      <c r="J122" s="34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34"/>
      <c r="AA122" s="34"/>
      <c r="AB122" s="34"/>
      <c r="AC122" s="34"/>
      <c r="AD122" s="34"/>
      <c r="AE122" s="34"/>
      <c r="AF122" s="34"/>
      <c r="AG122" s="34"/>
      <c r="AH122" s="34"/>
      <c r="AI122" s="34"/>
      <c r="AJ122" s="34"/>
      <c r="AK122" s="34"/>
      <c r="AL122" s="34"/>
      <c r="AM122" s="34"/>
      <c r="AN122" s="34"/>
      <c r="AO122" s="34"/>
      <c r="AP122" s="34"/>
    </row>
    <row r="123" spans="1:42">
      <c r="A123" s="3"/>
      <c r="B123" s="3"/>
      <c r="C123" s="3"/>
      <c r="D123" s="3"/>
      <c r="E123" s="3"/>
      <c r="F123" s="3"/>
      <c r="G123" s="3"/>
      <c r="H123" s="3"/>
      <c r="I123" s="34"/>
      <c r="J123" s="34"/>
      <c r="K123" s="34"/>
      <c r="L123" s="34"/>
      <c r="M123" s="34"/>
      <c r="N123" s="34"/>
      <c r="O123" s="34"/>
      <c r="P123" s="34"/>
      <c r="Q123" s="34"/>
      <c r="R123" s="34"/>
      <c r="S123" s="34"/>
      <c r="T123" s="34"/>
      <c r="U123" s="34"/>
      <c r="V123" s="34"/>
      <c r="W123" s="34"/>
      <c r="X123" s="34"/>
      <c r="Y123" s="34"/>
      <c r="Z123" s="34"/>
      <c r="AA123" s="34"/>
      <c r="AB123" s="34"/>
      <c r="AC123" s="34"/>
      <c r="AD123" s="34"/>
      <c r="AE123" s="34"/>
      <c r="AF123" s="34"/>
      <c r="AG123" s="34"/>
      <c r="AH123" s="34"/>
      <c r="AI123" s="34"/>
      <c r="AJ123" s="34"/>
      <c r="AK123" s="34"/>
      <c r="AL123" s="34"/>
      <c r="AM123" s="34"/>
      <c r="AN123" s="34"/>
      <c r="AO123" s="34"/>
      <c r="AP123" s="34"/>
    </row>
    <row r="124" spans="1:42">
      <c r="A124" s="3"/>
      <c r="B124" s="3"/>
      <c r="C124" s="3"/>
      <c r="D124" s="3"/>
      <c r="E124" s="3"/>
      <c r="F124" s="3"/>
      <c r="G124" s="3"/>
      <c r="H124" s="3"/>
      <c r="I124" s="34"/>
      <c r="J124" s="34"/>
      <c r="K124" s="34"/>
      <c r="L124" s="34"/>
      <c r="M124" s="34"/>
      <c r="N124" s="34"/>
      <c r="O124" s="34"/>
      <c r="P124" s="34"/>
      <c r="Q124" s="34"/>
      <c r="R124" s="34"/>
      <c r="S124" s="34"/>
      <c r="T124" s="34"/>
      <c r="U124" s="34"/>
      <c r="V124" s="34"/>
      <c r="W124" s="34"/>
      <c r="X124" s="34"/>
      <c r="Y124" s="34"/>
      <c r="Z124" s="34"/>
      <c r="AA124" s="34"/>
      <c r="AB124" s="34"/>
      <c r="AC124" s="34"/>
      <c r="AD124" s="34"/>
      <c r="AE124" s="34"/>
      <c r="AF124" s="34"/>
      <c r="AG124" s="34"/>
      <c r="AH124" s="34"/>
      <c r="AI124" s="34"/>
      <c r="AJ124" s="34"/>
      <c r="AK124" s="34"/>
      <c r="AL124" s="34"/>
      <c r="AM124" s="34"/>
      <c r="AN124" s="34"/>
      <c r="AO124" s="34"/>
      <c r="AP124" s="34"/>
    </row>
    <row r="125" spans="1:42">
      <c r="A125" s="3"/>
      <c r="B125" s="3"/>
      <c r="C125" s="3"/>
      <c r="D125" s="3"/>
      <c r="E125" s="3"/>
      <c r="F125" s="3"/>
      <c r="G125" s="3"/>
      <c r="H125" s="3"/>
      <c r="I125" s="34"/>
      <c r="J125" s="34"/>
      <c r="K125" s="34"/>
      <c r="L125" s="34"/>
      <c r="M125" s="34"/>
      <c r="N125" s="34"/>
      <c r="O125" s="34"/>
      <c r="P125" s="34"/>
      <c r="Q125" s="34"/>
      <c r="R125" s="34"/>
      <c r="S125" s="34"/>
      <c r="T125" s="34"/>
      <c r="U125" s="34"/>
      <c r="V125" s="34"/>
      <c r="W125" s="34"/>
      <c r="X125" s="34"/>
      <c r="Y125" s="34"/>
      <c r="Z125" s="34"/>
      <c r="AA125" s="34"/>
      <c r="AB125" s="34"/>
      <c r="AC125" s="34"/>
      <c r="AD125" s="34"/>
      <c r="AE125" s="34"/>
      <c r="AF125" s="34"/>
      <c r="AG125" s="34"/>
      <c r="AH125" s="34"/>
      <c r="AI125" s="34"/>
      <c r="AJ125" s="34"/>
      <c r="AK125" s="34"/>
      <c r="AL125" s="34"/>
      <c r="AM125" s="34"/>
      <c r="AN125" s="34"/>
      <c r="AO125" s="34"/>
      <c r="AP125" s="34"/>
    </row>
    <row r="126" spans="1:42">
      <c r="A126" s="3"/>
      <c r="B126" s="3"/>
      <c r="C126" s="3"/>
      <c r="D126" s="3"/>
      <c r="E126" s="3"/>
      <c r="F126" s="3"/>
      <c r="G126" s="3"/>
      <c r="H126" s="3"/>
      <c r="I126" s="34"/>
      <c r="J126" s="34"/>
      <c r="K126" s="34"/>
      <c r="L126" s="34"/>
      <c r="M126" s="34"/>
      <c r="N126" s="34"/>
      <c r="O126" s="34"/>
      <c r="P126" s="34"/>
      <c r="Q126" s="34"/>
      <c r="R126" s="34"/>
      <c r="S126" s="34"/>
      <c r="T126" s="34"/>
      <c r="U126" s="34"/>
      <c r="V126" s="34"/>
      <c r="W126" s="34"/>
      <c r="X126" s="34"/>
      <c r="Y126" s="34"/>
      <c r="Z126" s="34"/>
      <c r="AA126" s="34"/>
      <c r="AB126" s="34"/>
      <c r="AC126" s="34"/>
      <c r="AD126" s="34"/>
      <c r="AE126" s="34"/>
      <c r="AF126" s="34"/>
      <c r="AG126" s="34"/>
      <c r="AH126" s="34"/>
      <c r="AI126" s="34"/>
      <c r="AJ126" s="34"/>
      <c r="AK126" s="34"/>
      <c r="AL126" s="34"/>
      <c r="AM126" s="34"/>
      <c r="AN126" s="34"/>
      <c r="AO126" s="34"/>
      <c r="AP126" s="34"/>
    </row>
    <row r="127" spans="1:42">
      <c r="A127" s="3"/>
      <c r="B127" s="3"/>
      <c r="C127" s="3"/>
      <c r="D127" s="3"/>
      <c r="E127" s="3"/>
      <c r="F127" s="3"/>
      <c r="G127" s="3"/>
      <c r="H127" s="3"/>
      <c r="I127" s="34"/>
      <c r="J127" s="34"/>
      <c r="K127" s="34"/>
      <c r="L127" s="34"/>
      <c r="M127" s="34"/>
      <c r="N127" s="34"/>
      <c r="O127" s="34"/>
      <c r="P127" s="34"/>
      <c r="Q127" s="34"/>
      <c r="R127" s="34"/>
      <c r="S127" s="34"/>
      <c r="T127" s="34"/>
      <c r="U127" s="34"/>
      <c r="V127" s="34"/>
      <c r="W127" s="34"/>
      <c r="X127" s="34"/>
      <c r="Y127" s="34"/>
      <c r="Z127" s="34"/>
      <c r="AA127" s="34"/>
      <c r="AB127" s="34"/>
      <c r="AC127" s="34"/>
      <c r="AD127" s="34"/>
      <c r="AE127" s="34"/>
      <c r="AF127" s="34"/>
      <c r="AG127" s="34"/>
      <c r="AH127" s="34"/>
      <c r="AI127" s="34"/>
      <c r="AJ127" s="34"/>
      <c r="AK127" s="34"/>
      <c r="AL127" s="34"/>
      <c r="AM127" s="34"/>
      <c r="AN127" s="34"/>
      <c r="AO127" s="34"/>
      <c r="AP127" s="34"/>
    </row>
    <row r="128" spans="1:42">
      <c r="A128" s="3"/>
      <c r="B128" s="3"/>
      <c r="C128" s="3"/>
      <c r="D128" s="3"/>
      <c r="E128" s="3"/>
      <c r="F128" s="3"/>
      <c r="G128" s="3"/>
      <c r="H128" s="3"/>
      <c r="I128" s="34"/>
      <c r="J128" s="34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4"/>
      <c r="AA128" s="34"/>
      <c r="AB128" s="34"/>
      <c r="AC128" s="34"/>
      <c r="AD128" s="34"/>
      <c r="AE128" s="34"/>
      <c r="AF128" s="34"/>
      <c r="AG128" s="34"/>
      <c r="AH128" s="34"/>
      <c r="AI128" s="34"/>
      <c r="AJ128" s="34"/>
      <c r="AK128" s="34"/>
      <c r="AL128" s="34"/>
      <c r="AM128" s="34"/>
      <c r="AN128" s="34"/>
      <c r="AO128" s="34"/>
      <c r="AP128" s="34"/>
    </row>
    <row r="129" spans="1:42">
      <c r="A129" s="3"/>
      <c r="B129" s="3"/>
      <c r="C129" s="3"/>
      <c r="D129" s="3"/>
      <c r="E129" s="3"/>
      <c r="F129" s="3"/>
      <c r="G129" s="3"/>
      <c r="H129" s="3"/>
      <c r="I129" s="34"/>
      <c r="J129" s="34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4"/>
      <c r="AA129" s="34"/>
      <c r="AB129" s="34"/>
      <c r="AC129" s="34"/>
      <c r="AD129" s="34"/>
      <c r="AE129" s="34"/>
      <c r="AF129" s="34"/>
      <c r="AG129" s="34"/>
      <c r="AH129" s="34"/>
      <c r="AI129" s="34"/>
      <c r="AJ129" s="34"/>
      <c r="AK129" s="34"/>
      <c r="AL129" s="34"/>
      <c r="AM129" s="34"/>
      <c r="AN129" s="34"/>
      <c r="AO129" s="34"/>
      <c r="AP129" s="34"/>
    </row>
    <row r="130" spans="1:42">
      <c r="A130" s="3"/>
      <c r="B130" s="3"/>
      <c r="C130" s="3"/>
      <c r="D130" s="3"/>
      <c r="E130" s="3"/>
      <c r="F130" s="3"/>
      <c r="G130" s="3"/>
      <c r="H130" s="3"/>
      <c r="I130" s="34"/>
      <c r="J130" s="34"/>
      <c r="K130" s="34"/>
      <c r="L130" s="34"/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4"/>
      <c r="Z130" s="34"/>
      <c r="AA130" s="34"/>
      <c r="AB130" s="34"/>
      <c r="AC130" s="34"/>
      <c r="AD130" s="34"/>
      <c r="AE130" s="34"/>
      <c r="AF130" s="34"/>
      <c r="AG130" s="34"/>
      <c r="AH130" s="34"/>
      <c r="AI130" s="34"/>
      <c r="AJ130" s="34"/>
      <c r="AK130" s="34"/>
      <c r="AL130" s="34"/>
      <c r="AM130" s="34"/>
      <c r="AN130" s="34"/>
      <c r="AO130" s="34"/>
      <c r="AP130" s="34"/>
    </row>
    <row r="131" spans="1:42">
      <c r="A131" s="3"/>
      <c r="B131" s="3"/>
      <c r="C131" s="3"/>
      <c r="D131" s="3"/>
      <c r="E131" s="3"/>
      <c r="F131" s="3"/>
      <c r="G131" s="3"/>
      <c r="H131" s="3"/>
      <c r="I131" s="34"/>
      <c r="J131" s="34"/>
      <c r="K131" s="34"/>
      <c r="L131" s="34"/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4"/>
      <c r="X131" s="34"/>
      <c r="Y131" s="34"/>
      <c r="Z131" s="34"/>
      <c r="AA131" s="34"/>
      <c r="AB131" s="34"/>
      <c r="AC131" s="34"/>
      <c r="AD131" s="34"/>
      <c r="AE131" s="34"/>
      <c r="AF131" s="34"/>
      <c r="AG131" s="34"/>
      <c r="AH131" s="34"/>
      <c r="AI131" s="34"/>
      <c r="AJ131" s="34"/>
      <c r="AK131" s="34"/>
      <c r="AL131" s="34"/>
      <c r="AM131" s="34"/>
      <c r="AN131" s="34"/>
      <c r="AO131" s="34"/>
      <c r="AP131" s="34"/>
    </row>
    <row r="132" spans="1:42">
      <c r="A132" s="3"/>
      <c r="B132" s="3"/>
      <c r="C132" s="3"/>
      <c r="D132" s="3"/>
      <c r="E132" s="3"/>
      <c r="F132" s="3"/>
      <c r="G132" s="3"/>
      <c r="H132" s="3"/>
      <c r="I132" s="34"/>
      <c r="J132" s="34"/>
      <c r="K132" s="34"/>
      <c r="L132" s="34"/>
      <c r="M132" s="34"/>
      <c r="N132" s="34"/>
      <c r="O132" s="34"/>
      <c r="P132" s="34"/>
      <c r="Q132" s="34"/>
      <c r="R132" s="34"/>
      <c r="S132" s="34"/>
      <c r="T132" s="34"/>
      <c r="U132" s="34"/>
      <c r="V132" s="34"/>
      <c r="W132" s="34"/>
      <c r="X132" s="34"/>
      <c r="Y132" s="34"/>
      <c r="Z132" s="34"/>
      <c r="AA132" s="34"/>
      <c r="AB132" s="34"/>
      <c r="AC132" s="34"/>
      <c r="AD132" s="34"/>
      <c r="AE132" s="34"/>
      <c r="AF132" s="34"/>
      <c r="AG132" s="34"/>
      <c r="AH132" s="34"/>
      <c r="AI132" s="34"/>
      <c r="AJ132" s="34"/>
      <c r="AK132" s="34"/>
      <c r="AL132" s="34"/>
      <c r="AM132" s="34"/>
      <c r="AN132" s="34"/>
      <c r="AO132" s="34"/>
      <c r="AP132" s="34"/>
    </row>
    <row r="133" spans="1:42">
      <c r="A133" s="3"/>
      <c r="B133" s="3"/>
      <c r="C133" s="3"/>
      <c r="D133" s="3"/>
      <c r="E133" s="3"/>
      <c r="F133" s="3"/>
      <c r="G133" s="3"/>
      <c r="H133" s="3"/>
      <c r="I133" s="34"/>
      <c r="J133" s="34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4"/>
      <c r="AA133" s="34"/>
      <c r="AB133" s="34"/>
      <c r="AC133" s="34"/>
      <c r="AD133" s="34"/>
      <c r="AE133" s="34"/>
      <c r="AF133" s="34"/>
      <c r="AG133" s="34"/>
      <c r="AH133" s="34"/>
      <c r="AI133" s="34"/>
      <c r="AJ133" s="34"/>
      <c r="AK133" s="34"/>
      <c r="AL133" s="34"/>
      <c r="AM133" s="34"/>
      <c r="AN133" s="34"/>
      <c r="AO133" s="34"/>
      <c r="AP133" s="34"/>
    </row>
    <row r="134" spans="1:42">
      <c r="A134" s="3"/>
      <c r="B134" s="3"/>
      <c r="C134" s="3"/>
      <c r="D134" s="3"/>
      <c r="E134" s="3"/>
      <c r="F134" s="3"/>
      <c r="G134" s="3"/>
      <c r="H134" s="3"/>
      <c r="I134" s="34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4"/>
      <c r="Z134" s="34"/>
      <c r="AA134" s="34"/>
      <c r="AB134" s="34"/>
      <c r="AC134" s="34"/>
      <c r="AD134" s="34"/>
      <c r="AE134" s="34"/>
      <c r="AF134" s="34"/>
      <c r="AG134" s="34"/>
      <c r="AH134" s="34"/>
      <c r="AI134" s="34"/>
      <c r="AJ134" s="34"/>
      <c r="AK134" s="34"/>
      <c r="AL134" s="34"/>
      <c r="AM134" s="34"/>
      <c r="AN134" s="34"/>
      <c r="AO134" s="34"/>
      <c r="AP134" s="34"/>
    </row>
    <row r="135" spans="1:42">
      <c r="A135" s="3"/>
      <c r="B135" s="3"/>
      <c r="C135" s="3"/>
      <c r="D135" s="3"/>
      <c r="E135" s="3"/>
      <c r="F135" s="3"/>
      <c r="G135" s="3"/>
      <c r="H135" s="3"/>
      <c r="I135" s="34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  <c r="AA135" s="34"/>
      <c r="AB135" s="34"/>
      <c r="AC135" s="34"/>
      <c r="AD135" s="34"/>
      <c r="AE135" s="34"/>
      <c r="AF135" s="34"/>
      <c r="AG135" s="34"/>
      <c r="AH135" s="34"/>
      <c r="AI135" s="34"/>
      <c r="AJ135" s="34"/>
      <c r="AK135" s="34"/>
      <c r="AL135" s="34"/>
      <c r="AM135" s="34"/>
      <c r="AN135" s="34"/>
      <c r="AO135" s="34"/>
      <c r="AP135" s="34"/>
    </row>
    <row r="136" spans="1:42">
      <c r="A136" s="3"/>
      <c r="B136" s="3"/>
      <c r="C136" s="3"/>
      <c r="D136" s="3"/>
      <c r="E136" s="3"/>
      <c r="F136" s="3"/>
      <c r="G136" s="3"/>
      <c r="H136" s="3"/>
      <c r="I136" s="34"/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34"/>
      <c r="Z136" s="34"/>
      <c r="AA136" s="34"/>
      <c r="AB136" s="34"/>
      <c r="AC136" s="34"/>
      <c r="AD136" s="34"/>
      <c r="AE136" s="34"/>
      <c r="AF136" s="34"/>
      <c r="AG136" s="34"/>
      <c r="AH136" s="34"/>
      <c r="AI136" s="34"/>
      <c r="AJ136" s="34"/>
      <c r="AK136" s="34"/>
      <c r="AL136" s="34"/>
      <c r="AM136" s="34"/>
      <c r="AN136" s="34"/>
      <c r="AO136" s="34"/>
      <c r="AP136" s="34"/>
    </row>
    <row r="137" spans="1:42">
      <c r="A137" s="3"/>
      <c r="B137" s="3"/>
      <c r="C137" s="3"/>
      <c r="D137" s="3"/>
      <c r="E137" s="3"/>
      <c r="F137" s="3"/>
      <c r="G137" s="3"/>
      <c r="H137" s="3"/>
      <c r="I137" s="34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  <c r="Z137" s="34"/>
      <c r="AA137" s="34"/>
      <c r="AB137" s="34"/>
      <c r="AC137" s="34"/>
      <c r="AD137" s="34"/>
      <c r="AE137" s="34"/>
      <c r="AF137" s="34"/>
      <c r="AG137" s="34"/>
      <c r="AH137" s="34"/>
      <c r="AI137" s="34"/>
      <c r="AJ137" s="34"/>
      <c r="AK137" s="34"/>
      <c r="AL137" s="34"/>
      <c r="AM137" s="34"/>
      <c r="AN137" s="34"/>
      <c r="AO137" s="34"/>
      <c r="AP137" s="34"/>
    </row>
    <row r="138" spans="1:42">
      <c r="A138" s="3"/>
      <c r="B138" s="3"/>
      <c r="C138" s="3"/>
      <c r="D138" s="3"/>
      <c r="E138" s="3"/>
      <c r="F138" s="3"/>
      <c r="G138" s="3"/>
      <c r="H138" s="3"/>
      <c r="I138" s="34"/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/>
      <c r="Z138" s="34"/>
      <c r="AA138" s="34"/>
      <c r="AB138" s="34"/>
      <c r="AC138" s="34"/>
      <c r="AD138" s="34"/>
      <c r="AE138" s="34"/>
      <c r="AF138" s="34"/>
      <c r="AG138" s="34"/>
      <c r="AH138" s="34"/>
      <c r="AI138" s="34"/>
      <c r="AJ138" s="34"/>
      <c r="AK138" s="34"/>
      <c r="AL138" s="34"/>
      <c r="AM138" s="34"/>
      <c r="AN138" s="34"/>
      <c r="AO138" s="34"/>
      <c r="AP138" s="34"/>
    </row>
    <row r="139" spans="1:42">
      <c r="A139" s="3"/>
      <c r="B139" s="3"/>
      <c r="C139" s="3"/>
      <c r="D139" s="3"/>
      <c r="E139" s="3"/>
      <c r="F139" s="3"/>
      <c r="G139" s="3"/>
      <c r="H139" s="3"/>
      <c r="I139" s="34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/>
      <c r="Z139" s="34"/>
      <c r="AA139" s="34"/>
      <c r="AB139" s="34"/>
      <c r="AC139" s="34"/>
      <c r="AD139" s="34"/>
      <c r="AE139" s="34"/>
      <c r="AF139" s="34"/>
      <c r="AG139" s="34"/>
      <c r="AH139" s="34"/>
      <c r="AI139" s="34"/>
      <c r="AJ139" s="34"/>
      <c r="AK139" s="34"/>
      <c r="AL139" s="34"/>
      <c r="AM139" s="34"/>
      <c r="AN139" s="34"/>
      <c r="AO139" s="34"/>
      <c r="AP139" s="34"/>
    </row>
    <row r="140" spans="1:42">
      <c r="A140" s="3"/>
      <c r="B140" s="3"/>
      <c r="C140" s="3"/>
      <c r="D140" s="3"/>
      <c r="E140" s="3"/>
      <c r="F140" s="3"/>
      <c r="G140" s="3"/>
      <c r="H140" s="3"/>
      <c r="I140" s="34"/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/>
      <c r="Z140" s="34"/>
      <c r="AA140" s="34"/>
      <c r="AB140" s="34"/>
      <c r="AC140" s="34"/>
      <c r="AD140" s="34"/>
      <c r="AE140" s="34"/>
      <c r="AF140" s="34"/>
      <c r="AG140" s="34"/>
      <c r="AH140" s="34"/>
      <c r="AI140" s="34"/>
      <c r="AJ140" s="34"/>
      <c r="AK140" s="34"/>
      <c r="AL140" s="34"/>
      <c r="AM140" s="34"/>
      <c r="AN140" s="34"/>
      <c r="AO140" s="34"/>
      <c r="AP140" s="34"/>
    </row>
    <row r="141" spans="1:42">
      <c r="A141" s="3"/>
      <c r="B141" s="3"/>
      <c r="C141" s="3"/>
      <c r="D141" s="3"/>
      <c r="E141" s="3"/>
      <c r="F141" s="3"/>
      <c r="G141" s="3"/>
      <c r="H141" s="3"/>
      <c r="I141" s="34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/>
      <c r="Z141" s="34"/>
      <c r="AA141" s="34"/>
      <c r="AB141" s="34"/>
      <c r="AC141" s="34"/>
      <c r="AD141" s="34"/>
      <c r="AE141" s="34"/>
      <c r="AF141" s="34"/>
      <c r="AG141" s="34"/>
      <c r="AH141" s="34"/>
      <c r="AI141" s="34"/>
      <c r="AJ141" s="34"/>
      <c r="AK141" s="34"/>
      <c r="AL141" s="34"/>
      <c r="AM141" s="34"/>
      <c r="AN141" s="34"/>
      <c r="AO141" s="34"/>
      <c r="AP141" s="34"/>
    </row>
    <row r="142" spans="1:42">
      <c r="A142" s="3"/>
      <c r="B142" s="3"/>
      <c r="C142" s="3"/>
      <c r="D142" s="3"/>
      <c r="E142" s="3"/>
      <c r="F142" s="3"/>
      <c r="G142" s="3"/>
      <c r="H142" s="3"/>
      <c r="I142" s="34"/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4"/>
      <c r="V142" s="34"/>
      <c r="W142" s="34"/>
      <c r="X142" s="34"/>
      <c r="Y142" s="34"/>
      <c r="Z142" s="34"/>
      <c r="AA142" s="34"/>
      <c r="AB142" s="34"/>
      <c r="AC142" s="34"/>
      <c r="AD142" s="34"/>
      <c r="AE142" s="34"/>
      <c r="AF142" s="34"/>
      <c r="AG142" s="34"/>
      <c r="AH142" s="34"/>
      <c r="AI142" s="34"/>
      <c r="AJ142" s="34"/>
      <c r="AK142" s="34"/>
      <c r="AL142" s="34"/>
      <c r="AM142" s="34"/>
      <c r="AN142" s="34"/>
      <c r="AO142" s="34"/>
      <c r="AP142" s="34"/>
    </row>
    <row r="143" spans="1:42">
      <c r="A143" s="3"/>
      <c r="B143" s="3"/>
      <c r="C143" s="3"/>
      <c r="D143" s="3"/>
      <c r="E143" s="3"/>
      <c r="F143" s="3"/>
      <c r="G143" s="3"/>
      <c r="H143" s="3"/>
      <c r="I143" s="34"/>
      <c r="J143" s="34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4"/>
      <c r="V143" s="34"/>
      <c r="W143" s="34"/>
      <c r="X143" s="34"/>
      <c r="Y143" s="34"/>
      <c r="Z143" s="34"/>
      <c r="AA143" s="34"/>
      <c r="AB143" s="34"/>
      <c r="AC143" s="34"/>
      <c r="AD143" s="34"/>
      <c r="AE143" s="34"/>
      <c r="AF143" s="34"/>
      <c r="AG143" s="34"/>
      <c r="AH143" s="34"/>
      <c r="AI143" s="34"/>
      <c r="AJ143" s="34"/>
      <c r="AK143" s="34"/>
      <c r="AL143" s="34"/>
      <c r="AM143" s="34"/>
      <c r="AN143" s="34"/>
      <c r="AO143" s="34"/>
      <c r="AP143" s="34"/>
    </row>
    <row r="144" spans="1:42">
      <c r="A144" s="3"/>
      <c r="B144" s="3"/>
      <c r="C144" s="3"/>
      <c r="D144" s="3"/>
      <c r="E144" s="3"/>
      <c r="F144" s="3"/>
      <c r="G144" s="3"/>
      <c r="H144" s="3"/>
      <c r="I144" s="34"/>
      <c r="J144" s="34"/>
      <c r="K144" s="34"/>
      <c r="L144" s="34"/>
      <c r="M144" s="34"/>
      <c r="N144" s="34"/>
      <c r="O144" s="34"/>
      <c r="P144" s="34"/>
      <c r="Q144" s="34"/>
      <c r="R144" s="34"/>
      <c r="S144" s="34"/>
      <c r="T144" s="34"/>
      <c r="U144" s="34"/>
      <c r="V144" s="34"/>
      <c r="W144" s="34"/>
      <c r="X144" s="34"/>
      <c r="Y144" s="34"/>
      <c r="Z144" s="34"/>
      <c r="AA144" s="34"/>
      <c r="AB144" s="34"/>
      <c r="AC144" s="34"/>
      <c r="AD144" s="34"/>
      <c r="AE144" s="34"/>
      <c r="AF144" s="34"/>
      <c r="AG144" s="34"/>
      <c r="AH144" s="34"/>
      <c r="AI144" s="34"/>
      <c r="AJ144" s="34"/>
      <c r="AK144" s="34"/>
      <c r="AL144" s="34"/>
      <c r="AM144" s="34"/>
      <c r="AN144" s="34"/>
      <c r="AO144" s="34"/>
      <c r="AP144" s="34"/>
    </row>
    <row r="145" spans="1:42">
      <c r="A145" s="3"/>
      <c r="B145" s="3"/>
      <c r="C145" s="3"/>
      <c r="D145" s="3"/>
      <c r="E145" s="3"/>
      <c r="F145" s="3"/>
      <c r="G145" s="3"/>
      <c r="H145" s="3"/>
      <c r="I145" s="34"/>
      <c r="J145" s="34"/>
      <c r="K145" s="34"/>
      <c r="L145" s="34"/>
      <c r="M145" s="34"/>
      <c r="N145" s="34"/>
      <c r="O145" s="34"/>
      <c r="P145" s="34"/>
      <c r="Q145" s="34"/>
      <c r="R145" s="34"/>
      <c r="S145" s="34"/>
      <c r="T145" s="34"/>
      <c r="U145" s="34"/>
      <c r="V145" s="34"/>
      <c r="W145" s="34"/>
      <c r="X145" s="34"/>
      <c r="Y145" s="34"/>
      <c r="Z145" s="34"/>
      <c r="AA145" s="34"/>
      <c r="AB145" s="34"/>
      <c r="AC145" s="34"/>
      <c r="AD145" s="34"/>
      <c r="AE145" s="34"/>
      <c r="AF145" s="34"/>
      <c r="AG145" s="34"/>
      <c r="AH145" s="34"/>
      <c r="AI145" s="34"/>
      <c r="AJ145" s="34"/>
      <c r="AK145" s="34"/>
      <c r="AL145" s="34"/>
      <c r="AM145" s="34"/>
      <c r="AN145" s="34"/>
      <c r="AO145" s="34"/>
      <c r="AP145" s="34"/>
    </row>
    <row r="146" spans="1:42">
      <c r="A146" s="3"/>
      <c r="B146" s="3"/>
      <c r="C146" s="3"/>
      <c r="D146" s="3"/>
      <c r="E146" s="3"/>
      <c r="F146" s="3"/>
      <c r="G146" s="3"/>
      <c r="H146" s="3"/>
      <c r="I146" s="34"/>
      <c r="J146" s="34"/>
      <c r="K146" s="34"/>
      <c r="L146" s="34"/>
      <c r="M146" s="34"/>
      <c r="N146" s="34"/>
      <c r="O146" s="34"/>
      <c r="P146" s="34"/>
      <c r="Q146" s="34"/>
      <c r="R146" s="34"/>
      <c r="S146" s="34"/>
      <c r="T146" s="34"/>
      <c r="U146" s="34"/>
      <c r="V146" s="34"/>
      <c r="W146" s="34"/>
      <c r="X146" s="34"/>
      <c r="Y146" s="34"/>
      <c r="Z146" s="34"/>
      <c r="AA146" s="34"/>
      <c r="AB146" s="34"/>
      <c r="AC146" s="34"/>
      <c r="AD146" s="34"/>
      <c r="AE146" s="34"/>
      <c r="AF146" s="34"/>
      <c r="AG146" s="34"/>
      <c r="AH146" s="34"/>
      <c r="AI146" s="34"/>
      <c r="AJ146" s="34"/>
      <c r="AK146" s="34"/>
      <c r="AL146" s="34"/>
      <c r="AM146" s="34"/>
      <c r="AN146" s="34"/>
      <c r="AO146" s="34"/>
      <c r="AP146" s="34"/>
    </row>
    <row r="147" spans="1:42">
      <c r="A147" s="3"/>
      <c r="B147" s="3"/>
      <c r="C147" s="3"/>
      <c r="D147" s="3"/>
      <c r="E147" s="3"/>
      <c r="F147" s="3"/>
      <c r="G147" s="3"/>
      <c r="H147" s="3"/>
      <c r="I147" s="34"/>
      <c r="J147" s="34"/>
      <c r="K147" s="34"/>
      <c r="L147" s="34"/>
      <c r="M147" s="34"/>
      <c r="N147" s="34"/>
      <c r="O147" s="34"/>
      <c r="P147" s="34"/>
      <c r="Q147" s="34"/>
      <c r="R147" s="34"/>
      <c r="S147" s="34"/>
      <c r="T147" s="34"/>
      <c r="U147" s="34"/>
      <c r="V147" s="34"/>
      <c r="W147" s="34"/>
      <c r="X147" s="34"/>
      <c r="Y147" s="34"/>
      <c r="Z147" s="34"/>
      <c r="AA147" s="34"/>
      <c r="AB147" s="34"/>
      <c r="AC147" s="34"/>
      <c r="AD147" s="34"/>
      <c r="AE147" s="34"/>
      <c r="AF147" s="34"/>
      <c r="AG147" s="34"/>
      <c r="AH147" s="34"/>
      <c r="AI147" s="34"/>
      <c r="AJ147" s="34"/>
      <c r="AK147" s="34"/>
      <c r="AL147" s="34"/>
      <c r="AM147" s="34"/>
      <c r="AN147" s="34"/>
      <c r="AO147" s="34"/>
      <c r="AP147" s="34"/>
    </row>
    <row r="148" spans="1:42">
      <c r="A148" s="3"/>
      <c r="B148" s="3"/>
      <c r="C148" s="3"/>
      <c r="D148" s="3"/>
      <c r="E148" s="3"/>
      <c r="F148" s="3"/>
      <c r="G148" s="3"/>
      <c r="H148" s="3"/>
      <c r="I148" s="34"/>
      <c r="J148" s="34"/>
      <c r="K148" s="34"/>
      <c r="L148" s="34"/>
      <c r="M148" s="34"/>
      <c r="N148" s="34"/>
      <c r="O148" s="34"/>
      <c r="P148" s="34"/>
      <c r="Q148" s="34"/>
      <c r="R148" s="34"/>
      <c r="S148" s="34"/>
      <c r="T148" s="34"/>
      <c r="U148" s="34"/>
      <c r="V148" s="34"/>
      <c r="W148" s="34"/>
      <c r="X148" s="34"/>
      <c r="Y148" s="34"/>
      <c r="Z148" s="34"/>
      <c r="AA148" s="34"/>
      <c r="AB148" s="34"/>
      <c r="AC148" s="34"/>
      <c r="AD148" s="34"/>
      <c r="AE148" s="34"/>
      <c r="AF148" s="34"/>
      <c r="AG148" s="34"/>
      <c r="AH148" s="34"/>
      <c r="AI148" s="34"/>
      <c r="AJ148" s="34"/>
      <c r="AK148" s="34"/>
      <c r="AL148" s="34"/>
      <c r="AM148" s="34"/>
      <c r="AN148" s="34"/>
      <c r="AO148" s="34"/>
      <c r="AP148" s="34"/>
    </row>
    <row r="149" spans="1:42">
      <c r="A149" s="3"/>
      <c r="B149" s="3"/>
      <c r="C149" s="3"/>
      <c r="D149" s="3"/>
      <c r="E149" s="3"/>
      <c r="F149" s="3"/>
      <c r="G149" s="3"/>
      <c r="H149" s="3"/>
      <c r="I149" s="34"/>
      <c r="J149" s="34"/>
      <c r="K149" s="34"/>
      <c r="L149" s="34"/>
      <c r="M149" s="34"/>
      <c r="N149" s="34"/>
      <c r="O149" s="34"/>
      <c r="P149" s="34"/>
      <c r="Q149" s="34"/>
      <c r="R149" s="34"/>
      <c r="S149" s="34"/>
      <c r="T149" s="34"/>
      <c r="U149" s="34"/>
      <c r="V149" s="34"/>
      <c r="W149" s="34"/>
      <c r="X149" s="34"/>
      <c r="Y149" s="34"/>
      <c r="Z149" s="34"/>
      <c r="AA149" s="34"/>
      <c r="AB149" s="34"/>
      <c r="AC149" s="34"/>
      <c r="AD149" s="34"/>
      <c r="AE149" s="34"/>
      <c r="AF149" s="34"/>
      <c r="AG149" s="34"/>
      <c r="AH149" s="34"/>
      <c r="AI149" s="34"/>
      <c r="AJ149" s="34"/>
      <c r="AK149" s="34"/>
      <c r="AL149" s="34"/>
      <c r="AM149" s="34"/>
      <c r="AN149" s="34"/>
      <c r="AO149" s="34"/>
      <c r="AP149" s="34"/>
    </row>
    <row r="150" spans="1:42">
      <c r="A150" s="3"/>
      <c r="B150" s="3"/>
      <c r="C150" s="3"/>
      <c r="D150" s="3"/>
      <c r="E150" s="3"/>
      <c r="F150" s="3"/>
      <c r="G150" s="3"/>
      <c r="H150" s="3"/>
      <c r="I150" s="34"/>
      <c r="J150" s="34"/>
      <c r="K150" s="34"/>
      <c r="L150" s="34"/>
      <c r="M150" s="34"/>
      <c r="N150" s="34"/>
      <c r="O150" s="34"/>
      <c r="P150" s="34"/>
      <c r="Q150" s="34"/>
      <c r="R150" s="34"/>
      <c r="S150" s="34"/>
      <c r="T150" s="34"/>
      <c r="U150" s="34"/>
      <c r="V150" s="34"/>
      <c r="W150" s="34"/>
      <c r="X150" s="34"/>
      <c r="Y150" s="34"/>
      <c r="Z150" s="34"/>
      <c r="AA150" s="34"/>
      <c r="AB150" s="34"/>
      <c r="AC150" s="34"/>
      <c r="AD150" s="34"/>
      <c r="AE150" s="34"/>
      <c r="AF150" s="34"/>
      <c r="AG150" s="34"/>
      <c r="AH150" s="34"/>
      <c r="AI150" s="34"/>
      <c r="AJ150" s="34"/>
      <c r="AK150" s="34"/>
      <c r="AL150" s="34"/>
      <c r="AM150" s="34"/>
      <c r="AN150" s="34"/>
      <c r="AO150" s="34"/>
      <c r="AP150" s="34"/>
    </row>
    <row r="151" spans="1:42">
      <c r="A151" s="3"/>
      <c r="B151" s="3"/>
      <c r="C151" s="3"/>
      <c r="D151" s="3"/>
      <c r="E151" s="3"/>
      <c r="F151" s="3"/>
      <c r="G151" s="3"/>
      <c r="H151" s="3"/>
      <c r="I151" s="34"/>
      <c r="J151" s="34"/>
      <c r="K151" s="34"/>
      <c r="L151" s="34"/>
      <c r="M151" s="34"/>
      <c r="N151" s="34"/>
      <c r="O151" s="34"/>
      <c r="P151" s="34"/>
      <c r="Q151" s="34"/>
      <c r="R151" s="34"/>
      <c r="S151" s="34"/>
      <c r="T151" s="34"/>
      <c r="U151" s="34"/>
      <c r="V151" s="34"/>
      <c r="W151" s="34"/>
      <c r="X151" s="34"/>
      <c r="Y151" s="34"/>
      <c r="Z151" s="34"/>
      <c r="AA151" s="34"/>
      <c r="AB151" s="34"/>
      <c r="AC151" s="34"/>
      <c r="AD151" s="34"/>
      <c r="AE151" s="34"/>
      <c r="AF151" s="34"/>
      <c r="AG151" s="34"/>
      <c r="AH151" s="34"/>
      <c r="AI151" s="34"/>
      <c r="AJ151" s="34"/>
      <c r="AK151" s="34"/>
      <c r="AL151" s="34"/>
      <c r="AM151" s="34"/>
      <c r="AN151" s="34"/>
      <c r="AO151" s="34"/>
      <c r="AP151" s="34"/>
    </row>
    <row r="152" spans="1:42">
      <c r="A152" s="3"/>
      <c r="B152" s="3"/>
      <c r="C152" s="3"/>
      <c r="D152" s="3"/>
      <c r="E152" s="3"/>
      <c r="F152" s="3"/>
      <c r="G152" s="3"/>
      <c r="H152" s="3"/>
      <c r="I152" s="34"/>
      <c r="J152" s="34"/>
      <c r="K152" s="34"/>
      <c r="L152" s="34"/>
      <c r="M152" s="34"/>
      <c r="N152" s="34"/>
      <c r="O152" s="34"/>
      <c r="P152" s="34"/>
      <c r="Q152" s="34"/>
      <c r="R152" s="34"/>
      <c r="S152" s="34"/>
      <c r="T152" s="34"/>
      <c r="U152" s="34"/>
      <c r="V152" s="34"/>
      <c r="W152" s="34"/>
      <c r="X152" s="34"/>
      <c r="Y152" s="34"/>
      <c r="Z152" s="34"/>
      <c r="AA152" s="34"/>
      <c r="AB152" s="34"/>
      <c r="AC152" s="34"/>
      <c r="AD152" s="34"/>
      <c r="AE152" s="34"/>
      <c r="AF152" s="34"/>
      <c r="AG152" s="34"/>
      <c r="AH152" s="34"/>
      <c r="AI152" s="34"/>
      <c r="AJ152" s="34"/>
      <c r="AK152" s="34"/>
      <c r="AL152" s="34"/>
      <c r="AM152" s="34"/>
      <c r="AN152" s="34"/>
      <c r="AO152" s="34"/>
      <c r="AP152" s="34"/>
    </row>
    <row r="153" spans="1:42">
      <c r="A153" s="3"/>
      <c r="B153" s="3"/>
      <c r="C153" s="3"/>
      <c r="D153" s="3"/>
      <c r="E153" s="3"/>
      <c r="F153" s="3"/>
      <c r="G153" s="3"/>
      <c r="H153" s="3"/>
      <c r="I153" s="34"/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4"/>
      <c r="V153" s="34"/>
      <c r="W153" s="34"/>
      <c r="X153" s="34"/>
      <c r="Y153" s="34"/>
      <c r="Z153" s="34"/>
      <c r="AA153" s="34"/>
      <c r="AB153" s="34"/>
      <c r="AC153" s="34"/>
      <c r="AD153" s="34"/>
      <c r="AE153" s="34"/>
      <c r="AF153" s="34"/>
      <c r="AG153" s="34"/>
      <c r="AH153" s="34"/>
      <c r="AI153" s="34"/>
      <c r="AJ153" s="34"/>
      <c r="AK153" s="34"/>
      <c r="AL153" s="34"/>
      <c r="AM153" s="34"/>
      <c r="AN153" s="34"/>
      <c r="AO153" s="34"/>
      <c r="AP153" s="34"/>
    </row>
    <row r="154" spans="1:42">
      <c r="A154" s="3"/>
      <c r="B154" s="3"/>
      <c r="C154" s="3"/>
      <c r="D154" s="3"/>
      <c r="E154" s="3"/>
      <c r="F154" s="3"/>
      <c r="G154" s="3"/>
      <c r="H154" s="3"/>
      <c r="I154" s="34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4"/>
      <c r="X154" s="34"/>
      <c r="Y154" s="34"/>
      <c r="Z154" s="34"/>
      <c r="AA154" s="34"/>
      <c r="AB154" s="34"/>
      <c r="AC154" s="34"/>
      <c r="AD154" s="34"/>
      <c r="AE154" s="34"/>
      <c r="AF154" s="34"/>
      <c r="AG154" s="34"/>
      <c r="AH154" s="34"/>
      <c r="AI154" s="34"/>
      <c r="AJ154" s="34"/>
      <c r="AK154" s="34"/>
      <c r="AL154" s="34"/>
      <c r="AM154" s="34"/>
      <c r="AN154" s="34"/>
      <c r="AO154" s="34"/>
      <c r="AP154" s="34"/>
    </row>
    <row r="155" spans="1:42">
      <c r="A155" s="3"/>
      <c r="B155" s="3"/>
      <c r="C155" s="3"/>
      <c r="D155" s="3"/>
      <c r="E155" s="3"/>
      <c r="F155" s="3"/>
      <c r="G155" s="3"/>
      <c r="H155" s="3"/>
      <c r="I155" s="34"/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4"/>
      <c r="V155" s="34"/>
      <c r="W155" s="34"/>
      <c r="X155" s="34"/>
      <c r="Y155" s="34"/>
      <c r="Z155" s="34"/>
      <c r="AA155" s="34"/>
      <c r="AB155" s="34"/>
      <c r="AC155" s="34"/>
      <c r="AD155" s="34"/>
      <c r="AE155" s="34"/>
      <c r="AF155" s="34"/>
      <c r="AG155" s="34"/>
      <c r="AH155" s="34"/>
      <c r="AI155" s="34"/>
      <c r="AJ155" s="34"/>
      <c r="AK155" s="34"/>
      <c r="AL155" s="34"/>
      <c r="AM155" s="34"/>
      <c r="AN155" s="34"/>
      <c r="AO155" s="34"/>
      <c r="AP155" s="34"/>
    </row>
    <row r="156" spans="1:42">
      <c r="A156" s="3"/>
      <c r="B156" s="3"/>
      <c r="C156" s="3"/>
      <c r="D156" s="3"/>
      <c r="E156" s="3"/>
      <c r="F156" s="3"/>
      <c r="G156" s="3"/>
      <c r="H156" s="3"/>
      <c r="I156" s="34"/>
      <c r="J156" s="34"/>
      <c r="K156" s="34"/>
      <c r="L156" s="34"/>
      <c r="M156" s="34"/>
      <c r="N156" s="34"/>
      <c r="O156" s="34"/>
      <c r="P156" s="34"/>
      <c r="Q156" s="34"/>
      <c r="R156" s="34"/>
      <c r="S156" s="34"/>
      <c r="T156" s="34"/>
      <c r="U156" s="34"/>
      <c r="V156" s="34"/>
      <c r="W156" s="34"/>
      <c r="X156" s="34"/>
      <c r="Y156" s="34"/>
      <c r="Z156" s="34"/>
      <c r="AA156" s="34"/>
      <c r="AB156" s="34"/>
      <c r="AC156" s="34"/>
      <c r="AD156" s="34"/>
      <c r="AE156" s="34"/>
      <c r="AF156" s="34"/>
      <c r="AG156" s="34"/>
      <c r="AH156" s="34"/>
      <c r="AI156" s="34"/>
      <c r="AJ156" s="34"/>
      <c r="AK156" s="34"/>
      <c r="AL156" s="34"/>
      <c r="AM156" s="34"/>
      <c r="AN156" s="34"/>
      <c r="AO156" s="34"/>
      <c r="AP156" s="34"/>
    </row>
    <row r="157" spans="1:42">
      <c r="A157" s="3"/>
      <c r="B157" s="3"/>
      <c r="C157" s="3"/>
      <c r="D157" s="3"/>
      <c r="E157" s="3"/>
      <c r="F157" s="3"/>
      <c r="G157" s="3"/>
      <c r="H157" s="3"/>
      <c r="I157" s="34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34"/>
      <c r="Y157" s="34"/>
      <c r="Z157" s="34"/>
      <c r="AA157" s="34"/>
      <c r="AB157" s="34"/>
      <c r="AC157" s="34"/>
      <c r="AD157" s="34"/>
      <c r="AE157" s="34"/>
      <c r="AF157" s="34"/>
      <c r="AG157" s="34"/>
      <c r="AH157" s="34"/>
      <c r="AI157" s="34"/>
      <c r="AJ157" s="34"/>
      <c r="AK157" s="34"/>
      <c r="AL157" s="34"/>
      <c r="AM157" s="34"/>
      <c r="AN157" s="34"/>
      <c r="AO157" s="34"/>
      <c r="AP157" s="34"/>
    </row>
    <row r="158" spans="1:42">
      <c r="A158" s="3"/>
      <c r="B158" s="3"/>
      <c r="C158" s="3"/>
      <c r="D158" s="3"/>
      <c r="E158" s="3"/>
      <c r="F158" s="3"/>
      <c r="G158" s="3"/>
      <c r="H158" s="3"/>
      <c r="I158" s="34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  <c r="Z158" s="34"/>
      <c r="AA158" s="34"/>
      <c r="AB158" s="34"/>
      <c r="AC158" s="34"/>
      <c r="AD158" s="34"/>
      <c r="AE158" s="34"/>
      <c r="AF158" s="34"/>
      <c r="AG158" s="34"/>
      <c r="AH158" s="34"/>
      <c r="AI158" s="34"/>
      <c r="AJ158" s="34"/>
      <c r="AK158" s="34"/>
      <c r="AL158" s="34"/>
      <c r="AM158" s="34"/>
      <c r="AN158" s="34"/>
      <c r="AO158" s="34"/>
      <c r="AP158" s="34"/>
    </row>
    <row r="159" spans="1:42">
      <c r="A159" s="3"/>
      <c r="B159" s="3"/>
      <c r="C159" s="3"/>
      <c r="D159" s="3"/>
      <c r="E159" s="3"/>
      <c r="F159" s="3"/>
      <c r="G159" s="3"/>
      <c r="H159" s="3"/>
      <c r="I159" s="34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  <c r="AA159" s="34"/>
      <c r="AB159" s="34"/>
      <c r="AC159" s="34"/>
      <c r="AD159" s="34"/>
      <c r="AE159" s="34"/>
      <c r="AF159" s="34"/>
      <c r="AG159" s="34"/>
      <c r="AH159" s="34"/>
      <c r="AI159" s="34"/>
      <c r="AJ159" s="34"/>
      <c r="AK159" s="34"/>
      <c r="AL159" s="34"/>
      <c r="AM159" s="34"/>
      <c r="AN159" s="34"/>
      <c r="AO159" s="34"/>
      <c r="AP159" s="34"/>
    </row>
    <row r="160" spans="1:42">
      <c r="A160" s="3"/>
      <c r="B160" s="3"/>
      <c r="C160" s="3"/>
      <c r="D160" s="3"/>
      <c r="E160" s="3"/>
      <c r="F160" s="3"/>
      <c r="G160" s="3"/>
      <c r="H160" s="3"/>
      <c r="I160" s="34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4"/>
      <c r="AA160" s="34"/>
      <c r="AB160" s="34"/>
      <c r="AC160" s="34"/>
      <c r="AD160" s="34"/>
      <c r="AE160" s="34"/>
      <c r="AF160" s="34"/>
      <c r="AG160" s="34"/>
      <c r="AH160" s="34"/>
      <c r="AI160" s="34"/>
      <c r="AJ160" s="34"/>
      <c r="AK160" s="34"/>
      <c r="AL160" s="34"/>
      <c r="AM160" s="34"/>
      <c r="AN160" s="34"/>
      <c r="AO160" s="34"/>
      <c r="AP160" s="34"/>
    </row>
    <row r="161" spans="1:42">
      <c r="A161" s="3"/>
      <c r="B161" s="3"/>
      <c r="C161" s="3"/>
      <c r="D161" s="3"/>
      <c r="E161" s="3"/>
      <c r="F161" s="3"/>
      <c r="G161" s="3"/>
      <c r="H161" s="3"/>
      <c r="I161" s="34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4"/>
      <c r="V161" s="34"/>
      <c r="W161" s="34"/>
      <c r="X161" s="34"/>
      <c r="Y161" s="34"/>
      <c r="Z161" s="34"/>
      <c r="AA161" s="34"/>
      <c r="AB161" s="34"/>
      <c r="AC161" s="34"/>
      <c r="AD161" s="34"/>
      <c r="AE161" s="34"/>
      <c r="AF161" s="34"/>
      <c r="AG161" s="34"/>
      <c r="AH161" s="34"/>
      <c r="AI161" s="34"/>
      <c r="AJ161" s="34"/>
      <c r="AK161" s="34"/>
      <c r="AL161" s="34"/>
      <c r="AM161" s="34"/>
      <c r="AN161" s="34"/>
      <c r="AO161" s="34"/>
      <c r="AP161" s="34"/>
    </row>
    <row r="162" spans="1:42">
      <c r="A162" s="3"/>
      <c r="B162" s="3"/>
      <c r="C162" s="3"/>
      <c r="D162" s="3"/>
      <c r="E162" s="3"/>
      <c r="F162" s="3"/>
      <c r="G162" s="3"/>
      <c r="H162" s="3"/>
      <c r="I162" s="34"/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4"/>
      <c r="V162" s="34"/>
      <c r="W162" s="34"/>
      <c r="X162" s="34"/>
      <c r="Y162" s="34"/>
      <c r="Z162" s="34"/>
      <c r="AA162" s="34"/>
      <c r="AB162" s="34"/>
      <c r="AC162" s="34"/>
      <c r="AD162" s="34"/>
      <c r="AE162" s="34"/>
      <c r="AF162" s="34"/>
      <c r="AG162" s="34"/>
      <c r="AH162" s="34"/>
      <c r="AI162" s="34"/>
      <c r="AJ162" s="34"/>
      <c r="AK162" s="34"/>
      <c r="AL162" s="34"/>
      <c r="AM162" s="34"/>
      <c r="AN162" s="34"/>
      <c r="AO162" s="34"/>
      <c r="AP162" s="34"/>
    </row>
    <row r="163" spans="1:42">
      <c r="A163" s="3"/>
      <c r="B163" s="3"/>
      <c r="C163" s="3"/>
      <c r="D163" s="3"/>
      <c r="E163" s="3"/>
      <c r="F163" s="3"/>
      <c r="G163" s="3"/>
      <c r="H163" s="3"/>
      <c r="I163" s="34"/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4"/>
      <c r="V163" s="34"/>
      <c r="W163" s="34"/>
      <c r="X163" s="34"/>
      <c r="Y163" s="34"/>
      <c r="Z163" s="34"/>
      <c r="AA163" s="34"/>
      <c r="AB163" s="34"/>
      <c r="AC163" s="34"/>
      <c r="AD163" s="34"/>
      <c r="AE163" s="34"/>
      <c r="AF163" s="34"/>
      <c r="AG163" s="34"/>
      <c r="AH163" s="34"/>
      <c r="AI163" s="34"/>
      <c r="AJ163" s="34"/>
      <c r="AK163" s="34"/>
      <c r="AL163" s="34"/>
      <c r="AM163" s="34"/>
      <c r="AN163" s="34"/>
      <c r="AO163" s="34"/>
      <c r="AP163" s="34"/>
    </row>
    <row r="164" spans="1:42">
      <c r="A164" s="3"/>
      <c r="B164" s="3"/>
      <c r="C164" s="3"/>
      <c r="D164" s="3"/>
      <c r="E164" s="3"/>
      <c r="F164" s="3"/>
      <c r="G164" s="3"/>
      <c r="H164" s="3"/>
      <c r="I164" s="34"/>
      <c r="J164" s="34"/>
      <c r="K164" s="34"/>
      <c r="L164" s="34"/>
      <c r="M164" s="34"/>
      <c r="N164" s="34"/>
      <c r="O164" s="34"/>
      <c r="P164" s="34"/>
      <c r="Q164" s="34"/>
      <c r="R164" s="34"/>
      <c r="S164" s="34"/>
      <c r="T164" s="34"/>
      <c r="U164" s="34"/>
      <c r="V164" s="34"/>
      <c r="W164" s="34"/>
      <c r="X164" s="34"/>
      <c r="Y164" s="34"/>
      <c r="Z164" s="34"/>
      <c r="AA164" s="34"/>
      <c r="AB164" s="34"/>
      <c r="AC164" s="34"/>
      <c r="AD164" s="34"/>
      <c r="AE164" s="34"/>
      <c r="AF164" s="34"/>
      <c r="AG164" s="34"/>
      <c r="AH164" s="34"/>
      <c r="AI164" s="34"/>
      <c r="AJ164" s="34"/>
      <c r="AK164" s="34"/>
      <c r="AL164" s="34"/>
      <c r="AM164" s="34"/>
      <c r="AN164" s="34"/>
      <c r="AO164" s="34"/>
      <c r="AP164" s="34"/>
    </row>
    <row r="165" spans="1:42">
      <c r="A165" s="3"/>
      <c r="B165" s="3"/>
      <c r="C165" s="3"/>
      <c r="D165" s="3"/>
      <c r="E165" s="3"/>
      <c r="F165" s="3"/>
      <c r="G165" s="3"/>
      <c r="H165" s="3"/>
      <c r="I165" s="34"/>
      <c r="J165" s="34"/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U165" s="34"/>
      <c r="V165" s="34"/>
      <c r="W165" s="34"/>
      <c r="X165" s="34"/>
      <c r="Y165" s="34"/>
      <c r="Z165" s="34"/>
      <c r="AA165" s="34"/>
      <c r="AB165" s="34"/>
      <c r="AC165" s="34"/>
      <c r="AD165" s="34"/>
      <c r="AE165" s="34"/>
      <c r="AF165" s="34"/>
      <c r="AG165" s="34"/>
      <c r="AH165" s="34"/>
      <c r="AI165" s="34"/>
      <c r="AJ165" s="34"/>
      <c r="AK165" s="34"/>
      <c r="AL165" s="34"/>
      <c r="AM165" s="34"/>
      <c r="AN165" s="34"/>
      <c r="AO165" s="34"/>
      <c r="AP165" s="34"/>
    </row>
    <row r="166" spans="1:42">
      <c r="A166" s="3"/>
      <c r="B166" s="3"/>
      <c r="C166" s="3"/>
      <c r="D166" s="3"/>
      <c r="E166" s="3"/>
      <c r="F166" s="3"/>
      <c r="G166" s="3"/>
      <c r="H166" s="3"/>
      <c r="I166" s="34"/>
      <c r="J166" s="34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4"/>
      <c r="Z166" s="34"/>
      <c r="AA166" s="34"/>
      <c r="AB166" s="34"/>
      <c r="AC166" s="34"/>
      <c r="AD166" s="34"/>
      <c r="AE166" s="34"/>
      <c r="AF166" s="34"/>
      <c r="AG166" s="34"/>
      <c r="AH166" s="34"/>
      <c r="AI166" s="34"/>
      <c r="AJ166" s="34"/>
      <c r="AK166" s="34"/>
      <c r="AL166" s="34"/>
      <c r="AM166" s="34"/>
      <c r="AN166" s="34"/>
      <c r="AO166" s="34"/>
      <c r="AP166" s="34"/>
    </row>
    <row r="167" spans="1:42">
      <c r="A167" s="3"/>
      <c r="B167" s="3"/>
      <c r="C167" s="3"/>
      <c r="D167" s="3"/>
      <c r="E167" s="3"/>
      <c r="F167" s="3"/>
      <c r="G167" s="3"/>
      <c r="H167" s="3"/>
      <c r="I167" s="34"/>
      <c r="J167" s="34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U167" s="34"/>
      <c r="V167" s="34"/>
      <c r="W167" s="34"/>
      <c r="X167" s="34"/>
      <c r="Y167" s="34"/>
      <c r="Z167" s="34"/>
      <c r="AA167" s="34"/>
      <c r="AB167" s="34"/>
      <c r="AC167" s="34"/>
      <c r="AD167" s="34"/>
      <c r="AE167" s="34"/>
      <c r="AF167" s="34"/>
      <c r="AG167" s="34"/>
      <c r="AH167" s="34"/>
      <c r="AI167" s="34"/>
      <c r="AJ167" s="34"/>
      <c r="AK167" s="34"/>
      <c r="AL167" s="34"/>
      <c r="AM167" s="34"/>
      <c r="AN167" s="34"/>
      <c r="AO167" s="34"/>
      <c r="AP167" s="34"/>
    </row>
    <row r="168" spans="1:42">
      <c r="A168" s="3"/>
      <c r="B168" s="3"/>
      <c r="C168" s="3"/>
      <c r="D168" s="3"/>
      <c r="E168" s="3"/>
      <c r="F168" s="3"/>
      <c r="G168" s="3"/>
      <c r="H168" s="3"/>
      <c r="I168" s="34"/>
      <c r="J168" s="34"/>
      <c r="K168" s="34"/>
      <c r="L168" s="34"/>
      <c r="M168" s="34"/>
      <c r="N168" s="34"/>
      <c r="O168" s="34"/>
      <c r="P168" s="34"/>
      <c r="Q168" s="34"/>
      <c r="R168" s="34"/>
      <c r="S168" s="34"/>
      <c r="T168" s="34"/>
      <c r="U168" s="34"/>
      <c r="V168" s="34"/>
      <c r="W168" s="34"/>
      <c r="X168" s="34"/>
      <c r="Y168" s="34"/>
      <c r="Z168" s="34"/>
      <c r="AA168" s="34"/>
      <c r="AB168" s="34"/>
      <c r="AC168" s="34"/>
      <c r="AD168" s="34"/>
      <c r="AE168" s="34"/>
      <c r="AF168" s="34"/>
      <c r="AG168" s="34"/>
      <c r="AH168" s="34"/>
      <c r="AI168" s="34"/>
      <c r="AJ168" s="34"/>
      <c r="AK168" s="34"/>
      <c r="AL168" s="34"/>
      <c r="AM168" s="34"/>
      <c r="AN168" s="34"/>
      <c r="AO168" s="34"/>
      <c r="AP168" s="34"/>
    </row>
    <row r="169" spans="1:42">
      <c r="A169" s="3"/>
      <c r="B169" s="3"/>
      <c r="C169" s="3"/>
      <c r="D169" s="3"/>
      <c r="E169" s="3"/>
      <c r="F169" s="3"/>
      <c r="G169" s="3"/>
      <c r="H169" s="3"/>
      <c r="I169" s="34"/>
      <c r="J169" s="34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34"/>
      <c r="Z169" s="34"/>
      <c r="AA169" s="34"/>
      <c r="AB169" s="34"/>
      <c r="AC169" s="34"/>
      <c r="AD169" s="34"/>
      <c r="AE169" s="34"/>
      <c r="AF169" s="34"/>
      <c r="AG169" s="34"/>
      <c r="AH169" s="34"/>
      <c r="AI169" s="34"/>
      <c r="AJ169" s="34"/>
      <c r="AK169" s="34"/>
      <c r="AL169" s="34"/>
      <c r="AM169" s="34"/>
      <c r="AN169" s="34"/>
      <c r="AO169" s="34"/>
      <c r="AP169" s="34"/>
    </row>
    <row r="170" spans="1:42">
      <c r="A170" s="3"/>
      <c r="B170" s="3"/>
      <c r="C170" s="3"/>
      <c r="D170" s="3"/>
      <c r="E170" s="3"/>
      <c r="F170" s="3"/>
      <c r="G170" s="3"/>
      <c r="H170" s="3"/>
      <c r="I170" s="34"/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34"/>
      <c r="Z170" s="34"/>
      <c r="AA170" s="34"/>
      <c r="AB170" s="34"/>
      <c r="AC170" s="34"/>
      <c r="AD170" s="34"/>
      <c r="AE170" s="34"/>
      <c r="AF170" s="34"/>
      <c r="AG170" s="34"/>
      <c r="AH170" s="34"/>
      <c r="AI170" s="34"/>
      <c r="AJ170" s="34"/>
      <c r="AK170" s="34"/>
      <c r="AL170" s="34"/>
      <c r="AM170" s="34"/>
      <c r="AN170" s="34"/>
      <c r="AO170" s="34"/>
      <c r="AP170" s="34"/>
    </row>
    <row r="171" spans="1:42">
      <c r="A171" s="3"/>
      <c r="B171" s="3"/>
      <c r="C171" s="3"/>
      <c r="D171" s="3"/>
      <c r="E171" s="3"/>
      <c r="F171" s="3"/>
      <c r="G171" s="3"/>
      <c r="H171" s="3"/>
      <c r="I171" s="34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4"/>
      <c r="X171" s="34"/>
      <c r="Y171" s="34"/>
      <c r="Z171" s="34"/>
      <c r="AA171" s="34"/>
      <c r="AB171" s="34"/>
      <c r="AC171" s="34"/>
      <c r="AD171" s="34"/>
      <c r="AE171" s="34"/>
      <c r="AF171" s="34"/>
      <c r="AG171" s="34"/>
      <c r="AH171" s="34"/>
      <c r="AI171" s="34"/>
      <c r="AJ171" s="34"/>
      <c r="AK171" s="34"/>
      <c r="AL171" s="34"/>
      <c r="AM171" s="34"/>
      <c r="AN171" s="34"/>
      <c r="AO171" s="34"/>
      <c r="AP171" s="34"/>
    </row>
    <row r="172" spans="1:42">
      <c r="A172" s="3"/>
      <c r="B172" s="3"/>
      <c r="C172" s="3"/>
      <c r="D172" s="3"/>
      <c r="E172" s="3"/>
      <c r="F172" s="3"/>
      <c r="G172" s="3"/>
      <c r="H172" s="3"/>
      <c r="I172" s="34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4"/>
      <c r="V172" s="34"/>
      <c r="W172" s="34"/>
      <c r="X172" s="34"/>
      <c r="Y172" s="34"/>
      <c r="Z172" s="34"/>
      <c r="AA172" s="34"/>
      <c r="AB172" s="34"/>
      <c r="AC172" s="34"/>
      <c r="AD172" s="34"/>
      <c r="AE172" s="34"/>
      <c r="AF172" s="34"/>
      <c r="AG172" s="34"/>
      <c r="AH172" s="34"/>
      <c r="AI172" s="34"/>
      <c r="AJ172" s="34"/>
      <c r="AK172" s="34"/>
      <c r="AL172" s="34"/>
      <c r="AM172" s="34"/>
      <c r="AN172" s="34"/>
      <c r="AO172" s="34"/>
      <c r="AP172" s="34"/>
    </row>
    <row r="173" spans="1:42">
      <c r="A173" s="3"/>
      <c r="B173" s="3"/>
      <c r="C173" s="3"/>
      <c r="D173" s="3"/>
      <c r="E173" s="3"/>
      <c r="F173" s="3"/>
      <c r="G173" s="3"/>
      <c r="H173" s="3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  <c r="AA173" s="34"/>
      <c r="AB173" s="34"/>
      <c r="AC173" s="34"/>
      <c r="AD173" s="34"/>
      <c r="AE173" s="34"/>
      <c r="AF173" s="34"/>
      <c r="AG173" s="34"/>
      <c r="AH173" s="34"/>
      <c r="AI173" s="34"/>
      <c r="AJ173" s="34"/>
      <c r="AK173" s="34"/>
      <c r="AL173" s="34"/>
      <c r="AM173" s="34"/>
      <c r="AN173" s="34"/>
      <c r="AO173" s="34"/>
      <c r="AP173" s="34"/>
    </row>
    <row r="174" spans="1:42">
      <c r="A174" s="3"/>
      <c r="B174" s="3"/>
      <c r="C174" s="3"/>
      <c r="D174" s="3"/>
      <c r="E174" s="3"/>
      <c r="F174" s="3"/>
      <c r="G174" s="3"/>
      <c r="H174" s="3"/>
      <c r="I174" s="34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  <c r="X174" s="34"/>
      <c r="Y174" s="34"/>
      <c r="Z174" s="34"/>
      <c r="AA174" s="34"/>
      <c r="AB174" s="34"/>
      <c r="AC174" s="34"/>
      <c r="AD174" s="34"/>
      <c r="AE174" s="34"/>
      <c r="AF174" s="34"/>
      <c r="AG174" s="34"/>
      <c r="AH174" s="34"/>
      <c r="AI174" s="34"/>
      <c r="AJ174" s="34"/>
      <c r="AK174" s="34"/>
      <c r="AL174" s="34"/>
      <c r="AM174" s="34"/>
      <c r="AN174" s="34"/>
      <c r="AO174" s="34"/>
      <c r="AP174" s="34"/>
    </row>
    <row r="175" spans="1:42">
      <c r="A175" s="3"/>
      <c r="B175" s="3"/>
      <c r="C175" s="3"/>
      <c r="D175" s="3"/>
      <c r="E175" s="3"/>
      <c r="F175" s="3"/>
      <c r="G175" s="3"/>
      <c r="H175" s="3"/>
      <c r="I175" s="34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  <c r="X175" s="34"/>
      <c r="Y175" s="34"/>
      <c r="Z175" s="34"/>
      <c r="AA175" s="34"/>
      <c r="AB175" s="34"/>
      <c r="AC175" s="34"/>
      <c r="AD175" s="34"/>
      <c r="AE175" s="34"/>
      <c r="AF175" s="34"/>
      <c r="AG175" s="34"/>
      <c r="AH175" s="34"/>
      <c r="AI175" s="34"/>
      <c r="AJ175" s="34"/>
      <c r="AK175" s="34"/>
      <c r="AL175" s="34"/>
      <c r="AM175" s="34"/>
      <c r="AN175" s="34"/>
      <c r="AO175" s="34"/>
      <c r="AP175" s="34"/>
    </row>
    <row r="176" spans="1:42">
      <c r="A176" s="3"/>
      <c r="B176" s="3"/>
      <c r="C176" s="3"/>
      <c r="D176" s="3"/>
      <c r="E176" s="3"/>
      <c r="F176" s="3"/>
      <c r="G176" s="3"/>
      <c r="H176" s="3"/>
      <c r="I176" s="34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4"/>
      <c r="X176" s="34"/>
      <c r="Y176" s="34"/>
      <c r="Z176" s="34"/>
      <c r="AA176" s="34"/>
      <c r="AB176" s="34"/>
      <c r="AC176" s="34"/>
      <c r="AD176" s="34"/>
      <c r="AE176" s="34"/>
      <c r="AF176" s="34"/>
      <c r="AG176" s="34"/>
      <c r="AH176" s="34"/>
      <c r="AI176" s="34"/>
      <c r="AJ176" s="34"/>
      <c r="AK176" s="34"/>
      <c r="AL176" s="34"/>
      <c r="AM176" s="34"/>
      <c r="AN176" s="34"/>
      <c r="AO176" s="34"/>
      <c r="AP176" s="34"/>
    </row>
    <row r="177" spans="1:42">
      <c r="A177" s="3"/>
      <c r="B177" s="3"/>
      <c r="C177" s="3"/>
      <c r="D177" s="3"/>
      <c r="E177" s="3"/>
      <c r="F177" s="3"/>
      <c r="G177" s="3"/>
      <c r="H177" s="3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34"/>
      <c r="AA177" s="34"/>
      <c r="AB177" s="34"/>
      <c r="AC177" s="34"/>
      <c r="AD177" s="34"/>
      <c r="AE177" s="34"/>
      <c r="AF177" s="34"/>
      <c r="AG177" s="34"/>
      <c r="AH177" s="34"/>
      <c r="AI177" s="34"/>
      <c r="AJ177" s="34"/>
      <c r="AK177" s="34"/>
      <c r="AL177" s="34"/>
      <c r="AM177" s="34"/>
      <c r="AN177" s="34"/>
      <c r="AO177" s="34"/>
      <c r="AP177" s="34"/>
    </row>
    <row r="178" spans="1:42">
      <c r="A178" s="3"/>
      <c r="B178" s="3"/>
      <c r="C178" s="3"/>
      <c r="D178" s="3"/>
      <c r="E178" s="3"/>
      <c r="F178" s="3"/>
      <c r="G178" s="3"/>
      <c r="H178" s="3"/>
      <c r="I178" s="34"/>
      <c r="J178" s="34"/>
      <c r="K178" s="34"/>
      <c r="L178" s="34"/>
      <c r="M178" s="34"/>
      <c r="N178" s="34"/>
      <c r="O178" s="34"/>
      <c r="P178" s="34"/>
      <c r="Q178" s="34"/>
      <c r="R178" s="34"/>
      <c r="S178" s="34"/>
      <c r="T178" s="34"/>
      <c r="U178" s="34"/>
      <c r="V178" s="34"/>
      <c r="W178" s="34"/>
      <c r="X178" s="34"/>
      <c r="Y178" s="34"/>
      <c r="Z178" s="34"/>
      <c r="AA178" s="34"/>
      <c r="AB178" s="34"/>
      <c r="AC178" s="34"/>
      <c r="AD178" s="34"/>
      <c r="AE178" s="34"/>
      <c r="AF178" s="34"/>
      <c r="AG178" s="34"/>
      <c r="AH178" s="34"/>
      <c r="AI178" s="34"/>
      <c r="AJ178" s="34"/>
      <c r="AK178" s="34"/>
      <c r="AL178" s="34"/>
      <c r="AM178" s="34"/>
      <c r="AN178" s="34"/>
      <c r="AO178" s="34"/>
      <c r="AP178" s="34"/>
    </row>
    <row r="179" spans="1:42">
      <c r="A179" s="3"/>
      <c r="B179" s="3"/>
      <c r="C179" s="3"/>
      <c r="D179" s="3"/>
      <c r="E179" s="3"/>
      <c r="F179" s="3"/>
      <c r="G179" s="3"/>
      <c r="H179" s="3"/>
      <c r="I179" s="34"/>
      <c r="J179" s="34"/>
      <c r="K179" s="34"/>
      <c r="L179" s="34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X179" s="34"/>
      <c r="Y179" s="34"/>
      <c r="Z179" s="34"/>
      <c r="AA179" s="34"/>
      <c r="AB179" s="34"/>
      <c r="AC179" s="34"/>
      <c r="AD179" s="34"/>
      <c r="AE179" s="34"/>
      <c r="AF179" s="34"/>
      <c r="AG179" s="34"/>
      <c r="AH179" s="34"/>
      <c r="AI179" s="34"/>
      <c r="AJ179" s="34"/>
      <c r="AK179" s="34"/>
      <c r="AL179" s="34"/>
      <c r="AM179" s="34"/>
      <c r="AN179" s="34"/>
      <c r="AO179" s="34"/>
      <c r="AP179" s="34"/>
    </row>
    <row r="180" spans="1:42">
      <c r="A180" s="3"/>
      <c r="B180" s="3"/>
      <c r="C180" s="3"/>
      <c r="D180" s="3"/>
      <c r="E180" s="3"/>
      <c r="F180" s="3"/>
      <c r="G180" s="3"/>
      <c r="H180" s="3"/>
      <c r="I180" s="34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4"/>
      <c r="X180" s="34"/>
      <c r="Y180" s="34"/>
      <c r="Z180" s="34"/>
      <c r="AA180" s="34"/>
      <c r="AB180" s="34"/>
      <c r="AC180" s="34"/>
      <c r="AD180" s="34"/>
      <c r="AE180" s="34"/>
      <c r="AF180" s="34"/>
      <c r="AG180" s="34"/>
      <c r="AH180" s="34"/>
      <c r="AI180" s="34"/>
      <c r="AJ180" s="34"/>
      <c r="AK180" s="34"/>
      <c r="AL180" s="34"/>
      <c r="AM180" s="34"/>
      <c r="AN180" s="34"/>
      <c r="AO180" s="34"/>
      <c r="AP180" s="34"/>
    </row>
    <row r="181" spans="1:42">
      <c r="A181" s="3"/>
      <c r="B181" s="3"/>
      <c r="C181" s="3"/>
      <c r="D181" s="3"/>
      <c r="E181" s="3"/>
      <c r="F181" s="3"/>
      <c r="G181" s="3"/>
      <c r="H181" s="3"/>
      <c r="I181" s="34"/>
      <c r="J181" s="34"/>
      <c r="K181" s="34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34"/>
      <c r="AA181" s="34"/>
      <c r="AB181" s="34"/>
      <c r="AC181" s="34"/>
      <c r="AD181" s="34"/>
      <c r="AE181" s="34"/>
      <c r="AF181" s="34"/>
      <c r="AG181" s="34"/>
      <c r="AH181" s="34"/>
      <c r="AI181" s="34"/>
      <c r="AJ181" s="34"/>
      <c r="AK181" s="34"/>
      <c r="AL181" s="34"/>
      <c r="AM181" s="34"/>
      <c r="AN181" s="34"/>
      <c r="AO181" s="34"/>
      <c r="AP181" s="34"/>
    </row>
    <row r="182" spans="1:42">
      <c r="A182" s="3"/>
      <c r="B182" s="3"/>
      <c r="C182" s="3"/>
      <c r="D182" s="3"/>
      <c r="E182" s="3"/>
      <c r="F182" s="3"/>
      <c r="G182" s="3"/>
      <c r="H182" s="3"/>
      <c r="I182" s="34"/>
      <c r="J182" s="34"/>
      <c r="K182" s="34"/>
      <c r="L182" s="34"/>
      <c r="M182" s="34"/>
      <c r="N182" s="34"/>
      <c r="O182" s="34"/>
      <c r="P182" s="34"/>
      <c r="Q182" s="34"/>
      <c r="R182" s="34"/>
      <c r="S182" s="34"/>
      <c r="T182" s="34"/>
      <c r="U182" s="34"/>
      <c r="V182" s="34"/>
      <c r="W182" s="34"/>
      <c r="X182" s="34"/>
      <c r="Y182" s="34"/>
      <c r="Z182" s="34"/>
      <c r="AA182" s="34"/>
      <c r="AB182" s="34"/>
      <c r="AC182" s="34"/>
      <c r="AD182" s="34"/>
      <c r="AE182" s="34"/>
      <c r="AF182" s="34"/>
      <c r="AG182" s="34"/>
      <c r="AH182" s="34"/>
      <c r="AI182" s="34"/>
      <c r="AJ182" s="34"/>
      <c r="AK182" s="34"/>
      <c r="AL182" s="34"/>
      <c r="AM182" s="34"/>
      <c r="AN182" s="34"/>
      <c r="AO182" s="34"/>
      <c r="AP182" s="34"/>
    </row>
    <row r="183" spans="1:42">
      <c r="A183" s="3"/>
      <c r="B183" s="3"/>
      <c r="C183" s="3"/>
      <c r="D183" s="3"/>
      <c r="E183" s="3"/>
      <c r="F183" s="3"/>
      <c r="G183" s="3"/>
      <c r="H183" s="3"/>
      <c r="I183" s="34"/>
      <c r="J183" s="34"/>
      <c r="K183" s="34"/>
      <c r="L183" s="34"/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4"/>
      <c r="X183" s="34"/>
      <c r="Y183" s="34"/>
      <c r="Z183" s="34"/>
      <c r="AA183" s="34"/>
      <c r="AB183" s="34"/>
      <c r="AC183" s="34"/>
      <c r="AD183" s="34"/>
      <c r="AE183" s="34"/>
      <c r="AF183" s="34"/>
      <c r="AG183" s="34"/>
      <c r="AH183" s="34"/>
      <c r="AI183" s="34"/>
      <c r="AJ183" s="34"/>
      <c r="AK183" s="34"/>
      <c r="AL183" s="34"/>
      <c r="AM183" s="34"/>
      <c r="AN183" s="34"/>
      <c r="AO183" s="34"/>
      <c r="AP183" s="34"/>
    </row>
    <row r="184" spans="1:42">
      <c r="A184" s="3"/>
      <c r="B184" s="3"/>
      <c r="C184" s="3"/>
      <c r="D184" s="3"/>
      <c r="E184" s="3"/>
      <c r="F184" s="3"/>
      <c r="G184" s="3"/>
      <c r="H184" s="3"/>
      <c r="I184" s="34"/>
      <c r="J184" s="34"/>
      <c r="K184" s="34"/>
      <c r="L184" s="34"/>
      <c r="M184" s="34"/>
      <c r="N184" s="34"/>
      <c r="O184" s="34"/>
      <c r="P184" s="34"/>
      <c r="Q184" s="34"/>
      <c r="R184" s="34"/>
      <c r="S184" s="34"/>
      <c r="T184" s="34"/>
      <c r="U184" s="34"/>
      <c r="V184" s="34"/>
      <c r="W184" s="34"/>
      <c r="X184" s="34"/>
      <c r="Y184" s="34"/>
      <c r="Z184" s="34"/>
      <c r="AA184" s="34"/>
      <c r="AB184" s="34"/>
      <c r="AC184" s="34"/>
      <c r="AD184" s="34"/>
      <c r="AE184" s="34"/>
      <c r="AF184" s="34"/>
      <c r="AG184" s="34"/>
      <c r="AH184" s="34"/>
      <c r="AI184" s="34"/>
      <c r="AJ184" s="34"/>
      <c r="AK184" s="34"/>
      <c r="AL184" s="34"/>
      <c r="AM184" s="34"/>
      <c r="AN184" s="34"/>
      <c r="AO184" s="34"/>
      <c r="AP184" s="34"/>
    </row>
    <row r="185" spans="1:42">
      <c r="A185" s="3"/>
      <c r="B185" s="3"/>
      <c r="C185" s="3"/>
      <c r="D185" s="3"/>
      <c r="E185" s="3"/>
      <c r="F185" s="3"/>
      <c r="G185" s="3"/>
      <c r="H185" s="3"/>
      <c r="I185" s="34"/>
      <c r="J185" s="34"/>
      <c r="K185" s="34"/>
      <c r="L185" s="34"/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X185" s="34"/>
      <c r="Y185" s="34"/>
      <c r="Z185" s="34"/>
      <c r="AA185" s="34"/>
      <c r="AB185" s="34"/>
      <c r="AC185" s="34"/>
      <c r="AD185" s="34"/>
      <c r="AE185" s="34"/>
      <c r="AF185" s="34"/>
      <c r="AG185" s="34"/>
      <c r="AH185" s="34"/>
      <c r="AI185" s="34"/>
      <c r="AJ185" s="34"/>
      <c r="AK185" s="34"/>
      <c r="AL185" s="34"/>
      <c r="AM185" s="34"/>
      <c r="AN185" s="34"/>
      <c r="AO185" s="34"/>
      <c r="AP185" s="34"/>
    </row>
    <row r="186" spans="1:42">
      <c r="A186" s="3"/>
      <c r="B186" s="3"/>
      <c r="C186" s="3"/>
      <c r="D186" s="3"/>
      <c r="E186" s="3"/>
      <c r="F186" s="3"/>
      <c r="G186" s="3"/>
      <c r="H186" s="3"/>
      <c r="I186" s="34"/>
      <c r="J186" s="34"/>
      <c r="K186" s="34"/>
      <c r="L186" s="34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34"/>
      <c r="Z186" s="34"/>
      <c r="AA186" s="34"/>
      <c r="AB186" s="34"/>
      <c r="AC186" s="34"/>
      <c r="AD186" s="34"/>
      <c r="AE186" s="34"/>
      <c r="AF186" s="34"/>
      <c r="AG186" s="34"/>
      <c r="AH186" s="34"/>
      <c r="AI186" s="34"/>
      <c r="AJ186" s="34"/>
      <c r="AK186" s="34"/>
      <c r="AL186" s="34"/>
      <c r="AM186" s="34"/>
      <c r="AN186" s="34"/>
      <c r="AO186" s="34"/>
      <c r="AP186" s="34"/>
    </row>
    <row r="187" spans="1:42">
      <c r="A187" s="3"/>
      <c r="B187" s="3"/>
      <c r="C187" s="3"/>
      <c r="D187" s="3"/>
      <c r="E187" s="3"/>
      <c r="F187" s="3"/>
      <c r="G187" s="3"/>
      <c r="H187" s="3"/>
      <c r="I187" s="34"/>
      <c r="J187" s="34"/>
      <c r="K187" s="34"/>
      <c r="L187" s="34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34"/>
      <c r="Y187" s="34"/>
      <c r="Z187" s="34"/>
      <c r="AA187" s="34"/>
      <c r="AB187" s="34"/>
      <c r="AC187" s="34"/>
      <c r="AD187" s="34"/>
      <c r="AE187" s="34"/>
      <c r="AF187" s="34"/>
      <c r="AG187" s="34"/>
      <c r="AH187" s="34"/>
      <c r="AI187" s="34"/>
      <c r="AJ187" s="34"/>
      <c r="AK187" s="34"/>
      <c r="AL187" s="34"/>
      <c r="AM187" s="34"/>
      <c r="AN187" s="34"/>
      <c r="AO187" s="34"/>
      <c r="AP187" s="34"/>
    </row>
    <row r="188" spans="1:42">
      <c r="A188" s="3"/>
      <c r="B188" s="3"/>
      <c r="C188" s="3"/>
      <c r="D188" s="3"/>
      <c r="E188" s="3"/>
      <c r="F188" s="3"/>
      <c r="G188" s="3"/>
      <c r="H188" s="3"/>
      <c r="I188" s="34"/>
      <c r="J188" s="34"/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34"/>
      <c r="Y188" s="34"/>
      <c r="Z188" s="34"/>
      <c r="AA188" s="34"/>
      <c r="AB188" s="34"/>
      <c r="AC188" s="34"/>
      <c r="AD188" s="34"/>
      <c r="AE188" s="34"/>
      <c r="AF188" s="34"/>
      <c r="AG188" s="34"/>
      <c r="AH188" s="34"/>
      <c r="AI188" s="34"/>
      <c r="AJ188" s="34"/>
      <c r="AK188" s="34"/>
      <c r="AL188" s="34"/>
      <c r="AM188" s="34"/>
      <c r="AN188" s="34"/>
      <c r="AO188" s="34"/>
      <c r="AP188" s="34"/>
    </row>
    <row r="189" spans="1:42">
      <c r="A189" s="3"/>
      <c r="B189" s="3"/>
      <c r="C189" s="3"/>
      <c r="D189" s="3"/>
      <c r="E189" s="3"/>
      <c r="F189" s="3"/>
      <c r="G189" s="3"/>
      <c r="H189" s="3"/>
      <c r="I189" s="34"/>
      <c r="J189" s="34"/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  <c r="Y189" s="34"/>
      <c r="Z189" s="34"/>
      <c r="AA189" s="34"/>
      <c r="AB189" s="34"/>
      <c r="AC189" s="34"/>
      <c r="AD189" s="34"/>
      <c r="AE189" s="34"/>
      <c r="AF189" s="34"/>
      <c r="AG189" s="34"/>
      <c r="AH189" s="34"/>
      <c r="AI189" s="34"/>
      <c r="AJ189" s="34"/>
      <c r="AK189" s="34"/>
      <c r="AL189" s="34"/>
      <c r="AM189" s="34"/>
      <c r="AN189" s="34"/>
      <c r="AO189" s="34"/>
      <c r="AP189" s="34"/>
    </row>
    <row r="190" spans="1:42">
      <c r="A190" s="3"/>
      <c r="B190" s="3"/>
      <c r="C190" s="3"/>
      <c r="D190" s="3"/>
      <c r="E190" s="3"/>
      <c r="F190" s="3"/>
      <c r="G190" s="3"/>
      <c r="H190" s="3"/>
      <c r="I190" s="34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4"/>
      <c r="Z190" s="34"/>
      <c r="AA190" s="34"/>
      <c r="AB190" s="34"/>
      <c r="AC190" s="34"/>
      <c r="AD190" s="34"/>
      <c r="AE190" s="34"/>
      <c r="AF190" s="34"/>
      <c r="AG190" s="34"/>
      <c r="AH190" s="34"/>
      <c r="AI190" s="34"/>
      <c r="AJ190" s="34"/>
      <c r="AK190" s="34"/>
      <c r="AL190" s="34"/>
      <c r="AM190" s="34"/>
      <c r="AN190" s="34"/>
      <c r="AO190" s="34"/>
      <c r="AP190" s="34"/>
    </row>
    <row r="191" spans="1:42">
      <c r="A191" s="3"/>
      <c r="B191" s="3"/>
      <c r="C191" s="3"/>
      <c r="D191" s="3"/>
      <c r="E191" s="3"/>
      <c r="F191" s="3"/>
      <c r="G191" s="3"/>
      <c r="H191" s="3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34"/>
      <c r="AA191" s="34"/>
      <c r="AB191" s="34"/>
      <c r="AC191" s="34"/>
      <c r="AD191" s="34"/>
      <c r="AE191" s="34"/>
      <c r="AF191" s="34"/>
      <c r="AG191" s="34"/>
      <c r="AH191" s="34"/>
      <c r="AI191" s="34"/>
      <c r="AJ191" s="34"/>
      <c r="AK191" s="34"/>
      <c r="AL191" s="34"/>
      <c r="AM191" s="34"/>
      <c r="AN191" s="34"/>
      <c r="AO191" s="34"/>
      <c r="AP191" s="34"/>
    </row>
    <row r="192" spans="1:42">
      <c r="A192" s="3"/>
      <c r="B192" s="3"/>
      <c r="C192" s="3"/>
      <c r="D192" s="3"/>
      <c r="E192" s="3"/>
      <c r="F192" s="3"/>
      <c r="G192" s="3"/>
      <c r="H192" s="3"/>
      <c r="I192" s="34"/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34"/>
      <c r="Y192" s="34"/>
      <c r="Z192" s="34"/>
      <c r="AA192" s="34"/>
      <c r="AB192" s="34"/>
      <c r="AC192" s="34"/>
      <c r="AD192" s="34"/>
      <c r="AE192" s="34"/>
      <c r="AF192" s="34"/>
      <c r="AG192" s="34"/>
      <c r="AH192" s="34"/>
      <c r="AI192" s="34"/>
      <c r="AJ192" s="34"/>
      <c r="AK192" s="34"/>
      <c r="AL192" s="34"/>
      <c r="AM192" s="34"/>
      <c r="AN192" s="34"/>
      <c r="AO192" s="34"/>
      <c r="AP192" s="34"/>
    </row>
    <row r="193" spans="1:42">
      <c r="A193" s="3"/>
      <c r="B193" s="3"/>
      <c r="C193" s="3"/>
      <c r="D193" s="3"/>
      <c r="E193" s="3"/>
      <c r="F193" s="3"/>
      <c r="G193" s="3"/>
      <c r="H193" s="3"/>
      <c r="I193" s="34"/>
      <c r="J193" s="34"/>
      <c r="K193" s="34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4"/>
      <c r="Z193" s="34"/>
      <c r="AA193" s="34"/>
      <c r="AB193" s="34"/>
      <c r="AC193" s="34"/>
      <c r="AD193" s="34"/>
      <c r="AE193" s="34"/>
      <c r="AF193" s="34"/>
      <c r="AG193" s="34"/>
      <c r="AH193" s="34"/>
      <c r="AI193" s="34"/>
      <c r="AJ193" s="34"/>
      <c r="AK193" s="34"/>
      <c r="AL193" s="34"/>
      <c r="AM193" s="34"/>
      <c r="AN193" s="34"/>
      <c r="AO193" s="34"/>
      <c r="AP193" s="34"/>
    </row>
    <row r="194" spans="1:42">
      <c r="A194" s="3"/>
      <c r="B194" s="3"/>
      <c r="C194" s="3"/>
      <c r="D194" s="3"/>
      <c r="E194" s="3"/>
      <c r="F194" s="3"/>
      <c r="G194" s="3"/>
      <c r="H194" s="3"/>
      <c r="I194" s="34"/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4"/>
      <c r="AA194" s="34"/>
      <c r="AB194" s="34"/>
      <c r="AC194" s="34"/>
      <c r="AD194" s="34"/>
      <c r="AE194" s="34"/>
      <c r="AF194" s="34"/>
      <c r="AG194" s="34"/>
      <c r="AH194" s="34"/>
      <c r="AI194" s="34"/>
      <c r="AJ194" s="34"/>
      <c r="AK194" s="34"/>
      <c r="AL194" s="34"/>
      <c r="AM194" s="34"/>
      <c r="AN194" s="34"/>
      <c r="AO194" s="34"/>
      <c r="AP194" s="34"/>
    </row>
    <row r="195" spans="1:42">
      <c r="A195" s="3"/>
      <c r="B195" s="3"/>
      <c r="C195" s="3"/>
      <c r="D195" s="3"/>
      <c r="E195" s="3"/>
      <c r="F195" s="3"/>
      <c r="G195" s="3"/>
      <c r="H195" s="3"/>
      <c r="I195" s="34"/>
      <c r="J195" s="34"/>
      <c r="K195" s="34"/>
      <c r="L195" s="34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34"/>
      <c r="Z195" s="34"/>
      <c r="AA195" s="34"/>
      <c r="AB195" s="34"/>
      <c r="AC195" s="34"/>
      <c r="AD195" s="34"/>
      <c r="AE195" s="34"/>
      <c r="AF195" s="34"/>
      <c r="AG195" s="34"/>
      <c r="AH195" s="34"/>
      <c r="AI195" s="34"/>
      <c r="AJ195" s="34"/>
      <c r="AK195" s="34"/>
      <c r="AL195" s="34"/>
      <c r="AM195" s="34"/>
      <c r="AN195" s="34"/>
      <c r="AO195" s="34"/>
      <c r="AP195" s="34"/>
    </row>
    <row r="196" spans="1:42">
      <c r="A196" s="3"/>
      <c r="B196" s="3"/>
      <c r="C196" s="3"/>
      <c r="D196" s="3"/>
      <c r="E196" s="3"/>
      <c r="F196" s="3"/>
      <c r="G196" s="3"/>
      <c r="H196" s="3"/>
      <c r="I196" s="34"/>
      <c r="J196" s="34"/>
      <c r="K196" s="34"/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  <c r="Y196" s="34"/>
      <c r="Z196" s="34"/>
      <c r="AA196" s="34"/>
      <c r="AB196" s="34"/>
      <c r="AC196" s="34"/>
      <c r="AD196" s="34"/>
      <c r="AE196" s="34"/>
      <c r="AF196" s="34"/>
      <c r="AG196" s="34"/>
      <c r="AH196" s="34"/>
      <c r="AI196" s="34"/>
      <c r="AJ196" s="34"/>
      <c r="AK196" s="34"/>
      <c r="AL196" s="34"/>
      <c r="AM196" s="34"/>
      <c r="AN196" s="34"/>
      <c r="AO196" s="34"/>
      <c r="AP196" s="34"/>
    </row>
    <row r="197" spans="1:42">
      <c r="A197" s="3"/>
      <c r="B197" s="3"/>
      <c r="C197" s="3"/>
      <c r="D197" s="3"/>
      <c r="E197" s="3"/>
      <c r="F197" s="3"/>
      <c r="G197" s="3"/>
      <c r="H197" s="3"/>
      <c r="I197" s="34"/>
      <c r="J197" s="34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  <c r="Z197" s="34"/>
      <c r="AA197" s="34"/>
      <c r="AB197" s="34"/>
      <c r="AC197" s="34"/>
      <c r="AD197" s="34"/>
      <c r="AE197" s="34"/>
      <c r="AF197" s="34"/>
      <c r="AG197" s="34"/>
      <c r="AH197" s="34"/>
      <c r="AI197" s="34"/>
      <c r="AJ197" s="34"/>
      <c r="AK197" s="34"/>
      <c r="AL197" s="34"/>
      <c r="AM197" s="34"/>
      <c r="AN197" s="34"/>
      <c r="AO197" s="34"/>
      <c r="AP197" s="34"/>
    </row>
    <row r="198" spans="1:42">
      <c r="A198" s="3"/>
      <c r="B198" s="3"/>
      <c r="C198" s="3"/>
      <c r="D198" s="3"/>
      <c r="E198" s="3"/>
      <c r="F198" s="3"/>
      <c r="G198" s="3"/>
      <c r="H198" s="3"/>
      <c r="I198" s="34"/>
      <c r="J198" s="34"/>
      <c r="K198" s="34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  <c r="Y198" s="34"/>
      <c r="Z198" s="34"/>
      <c r="AA198" s="34"/>
      <c r="AB198" s="34"/>
      <c r="AC198" s="34"/>
      <c r="AD198" s="34"/>
      <c r="AE198" s="34"/>
      <c r="AF198" s="34"/>
      <c r="AG198" s="34"/>
      <c r="AH198" s="34"/>
      <c r="AI198" s="34"/>
      <c r="AJ198" s="34"/>
      <c r="AK198" s="34"/>
      <c r="AL198" s="34"/>
      <c r="AM198" s="34"/>
      <c r="AN198" s="34"/>
      <c r="AO198" s="34"/>
      <c r="AP198" s="34"/>
    </row>
    <row r="199" spans="1:42">
      <c r="A199" s="3"/>
      <c r="B199" s="3"/>
      <c r="C199" s="3"/>
      <c r="D199" s="3"/>
      <c r="E199" s="3"/>
      <c r="F199" s="3"/>
      <c r="G199" s="3"/>
      <c r="H199" s="3"/>
      <c r="I199" s="34"/>
      <c r="J199" s="34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34"/>
      <c r="AA199" s="34"/>
      <c r="AB199" s="34"/>
      <c r="AC199" s="34"/>
      <c r="AD199" s="34"/>
      <c r="AE199" s="34"/>
      <c r="AF199" s="34"/>
      <c r="AG199" s="34"/>
      <c r="AH199" s="34"/>
      <c r="AI199" s="34"/>
      <c r="AJ199" s="34"/>
      <c r="AK199" s="34"/>
      <c r="AL199" s="34"/>
      <c r="AM199" s="34"/>
      <c r="AN199" s="34"/>
      <c r="AO199" s="34"/>
      <c r="AP199" s="34"/>
    </row>
    <row r="200" spans="1:42">
      <c r="A200" s="3"/>
      <c r="B200" s="3"/>
      <c r="C200" s="3"/>
      <c r="D200" s="3"/>
      <c r="E200" s="3"/>
      <c r="F200" s="3"/>
      <c r="G200" s="3"/>
      <c r="H200" s="3"/>
      <c r="I200" s="34"/>
      <c r="J200" s="34"/>
      <c r="K200" s="34"/>
      <c r="L200" s="34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  <c r="Y200" s="34"/>
      <c r="Z200" s="34"/>
      <c r="AA200" s="34"/>
      <c r="AB200" s="34"/>
      <c r="AC200" s="34"/>
      <c r="AD200" s="34"/>
      <c r="AE200" s="34"/>
      <c r="AF200" s="34"/>
      <c r="AG200" s="34"/>
      <c r="AH200" s="34"/>
      <c r="AI200" s="34"/>
      <c r="AJ200" s="34"/>
      <c r="AK200" s="34"/>
      <c r="AL200" s="34"/>
      <c r="AM200" s="34"/>
      <c r="AN200" s="34"/>
      <c r="AO200" s="34"/>
      <c r="AP200" s="34"/>
    </row>
    <row r="201" spans="1:42">
      <c r="A201" s="3"/>
      <c r="B201" s="3"/>
      <c r="C201" s="3"/>
      <c r="D201" s="3"/>
      <c r="E201" s="3"/>
      <c r="F201" s="3"/>
      <c r="G201" s="3"/>
      <c r="H201" s="3"/>
      <c r="I201" s="34"/>
      <c r="J201" s="34"/>
      <c r="K201" s="34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34"/>
      <c r="Z201" s="34"/>
      <c r="AA201" s="34"/>
      <c r="AB201" s="34"/>
      <c r="AC201" s="34"/>
      <c r="AD201" s="34"/>
      <c r="AE201" s="34"/>
      <c r="AF201" s="34"/>
      <c r="AG201" s="34"/>
      <c r="AH201" s="34"/>
      <c r="AI201" s="34"/>
      <c r="AJ201" s="34"/>
      <c r="AK201" s="34"/>
      <c r="AL201" s="34"/>
      <c r="AM201" s="34"/>
      <c r="AN201" s="34"/>
      <c r="AO201" s="34"/>
      <c r="AP201" s="34"/>
    </row>
    <row r="202" spans="1:42">
      <c r="A202" s="3"/>
      <c r="B202" s="3"/>
      <c r="C202" s="3"/>
      <c r="D202" s="3"/>
      <c r="E202" s="3"/>
      <c r="F202" s="3"/>
      <c r="G202" s="3"/>
      <c r="H202" s="3"/>
      <c r="I202" s="34"/>
      <c r="J202" s="34"/>
      <c r="K202" s="34"/>
      <c r="L202" s="34"/>
      <c r="M202" s="34"/>
      <c r="N202" s="34"/>
      <c r="O202" s="34"/>
      <c r="P202" s="34"/>
      <c r="Q202" s="34"/>
      <c r="R202" s="34"/>
      <c r="S202" s="34"/>
      <c r="T202" s="34"/>
      <c r="U202" s="34"/>
      <c r="V202" s="34"/>
      <c r="W202" s="34"/>
      <c r="X202" s="34"/>
      <c r="Y202" s="34"/>
      <c r="Z202" s="34"/>
      <c r="AA202" s="34"/>
      <c r="AB202" s="34"/>
      <c r="AC202" s="34"/>
      <c r="AD202" s="34"/>
      <c r="AE202" s="34"/>
      <c r="AF202" s="34"/>
      <c r="AG202" s="34"/>
      <c r="AH202" s="34"/>
      <c r="AI202" s="34"/>
      <c r="AJ202" s="34"/>
      <c r="AK202" s="34"/>
      <c r="AL202" s="34"/>
      <c r="AM202" s="34"/>
      <c r="AN202" s="34"/>
      <c r="AO202" s="34"/>
      <c r="AP202" s="34"/>
    </row>
    <row r="203" spans="1:42">
      <c r="A203" s="3"/>
      <c r="B203" s="3"/>
      <c r="C203" s="3"/>
      <c r="D203" s="3"/>
      <c r="E203" s="3"/>
      <c r="F203" s="3"/>
      <c r="G203" s="3"/>
      <c r="H203" s="3"/>
      <c r="I203" s="34"/>
      <c r="J203" s="34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4"/>
      <c r="AA203" s="34"/>
      <c r="AB203" s="34"/>
      <c r="AC203" s="34"/>
      <c r="AD203" s="34"/>
      <c r="AE203" s="34"/>
      <c r="AF203" s="34"/>
      <c r="AG203" s="34"/>
      <c r="AH203" s="34"/>
      <c r="AI203" s="34"/>
      <c r="AJ203" s="34"/>
      <c r="AK203" s="34"/>
      <c r="AL203" s="34"/>
      <c r="AM203" s="34"/>
      <c r="AN203" s="34"/>
      <c r="AO203" s="34"/>
      <c r="AP203" s="34"/>
    </row>
    <row r="204" spans="1:42">
      <c r="A204" s="3"/>
      <c r="B204" s="3"/>
      <c r="C204" s="3"/>
      <c r="D204" s="3"/>
      <c r="E204" s="3"/>
      <c r="F204" s="3"/>
      <c r="G204" s="3"/>
      <c r="H204" s="3"/>
      <c r="I204" s="34"/>
      <c r="J204" s="34"/>
      <c r="K204" s="34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  <c r="Z204" s="34"/>
      <c r="AA204" s="34"/>
      <c r="AB204" s="34"/>
      <c r="AC204" s="34"/>
      <c r="AD204" s="34"/>
      <c r="AE204" s="34"/>
      <c r="AF204" s="34"/>
      <c r="AG204" s="34"/>
      <c r="AH204" s="34"/>
      <c r="AI204" s="34"/>
      <c r="AJ204" s="34"/>
      <c r="AK204" s="34"/>
      <c r="AL204" s="34"/>
      <c r="AM204" s="34"/>
      <c r="AN204" s="34"/>
      <c r="AO204" s="34"/>
      <c r="AP204" s="34"/>
    </row>
    <row r="205" spans="1:42">
      <c r="A205" s="3"/>
      <c r="B205" s="3"/>
      <c r="C205" s="3"/>
      <c r="D205" s="3"/>
      <c r="E205" s="3"/>
      <c r="F205" s="3"/>
      <c r="G205" s="3"/>
      <c r="H205" s="3"/>
      <c r="I205" s="34"/>
      <c r="J205" s="34"/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34"/>
      <c r="AA205" s="34"/>
      <c r="AB205" s="34"/>
      <c r="AC205" s="34"/>
      <c r="AD205" s="34"/>
      <c r="AE205" s="34"/>
      <c r="AF205" s="34"/>
      <c r="AG205" s="34"/>
      <c r="AH205" s="34"/>
      <c r="AI205" s="34"/>
      <c r="AJ205" s="34"/>
      <c r="AK205" s="34"/>
      <c r="AL205" s="34"/>
      <c r="AM205" s="34"/>
      <c r="AN205" s="34"/>
      <c r="AO205" s="34"/>
      <c r="AP205" s="34"/>
    </row>
    <row r="206" spans="1:42">
      <c r="A206" s="3"/>
      <c r="B206" s="3"/>
      <c r="C206" s="3"/>
      <c r="D206" s="3"/>
      <c r="E206" s="3"/>
      <c r="F206" s="3"/>
      <c r="G206" s="3"/>
      <c r="H206" s="3"/>
      <c r="I206" s="34"/>
      <c r="J206" s="34"/>
      <c r="K206" s="34"/>
      <c r="L206" s="34"/>
      <c r="M206" s="34"/>
      <c r="N206" s="34"/>
      <c r="O206" s="34"/>
      <c r="P206" s="34"/>
      <c r="Q206" s="34"/>
      <c r="R206" s="34"/>
      <c r="S206" s="34"/>
      <c r="T206" s="34"/>
      <c r="U206" s="34"/>
      <c r="V206" s="34"/>
      <c r="W206" s="34"/>
      <c r="X206" s="34"/>
      <c r="Y206" s="34"/>
      <c r="Z206" s="34"/>
      <c r="AA206" s="34"/>
      <c r="AB206" s="34"/>
      <c r="AC206" s="34"/>
      <c r="AD206" s="34"/>
      <c r="AE206" s="34"/>
      <c r="AF206" s="34"/>
      <c r="AG206" s="34"/>
      <c r="AH206" s="34"/>
      <c r="AI206" s="34"/>
      <c r="AJ206" s="34"/>
      <c r="AK206" s="34"/>
      <c r="AL206" s="34"/>
      <c r="AM206" s="34"/>
      <c r="AN206" s="34"/>
      <c r="AO206" s="34"/>
      <c r="AP206" s="34"/>
    </row>
    <row r="207" spans="1:42">
      <c r="A207" s="3"/>
      <c r="B207" s="3"/>
      <c r="C207" s="3"/>
      <c r="D207" s="3"/>
      <c r="E207" s="3"/>
      <c r="F207" s="3"/>
      <c r="G207" s="3"/>
      <c r="H207" s="3"/>
      <c r="I207" s="34"/>
      <c r="J207" s="34"/>
      <c r="K207" s="34"/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  <c r="Y207" s="34"/>
      <c r="Z207" s="34"/>
      <c r="AA207" s="34"/>
      <c r="AB207" s="34"/>
      <c r="AC207" s="34"/>
      <c r="AD207" s="34"/>
      <c r="AE207" s="34"/>
      <c r="AF207" s="34"/>
      <c r="AG207" s="34"/>
      <c r="AH207" s="34"/>
      <c r="AI207" s="34"/>
      <c r="AJ207" s="34"/>
      <c r="AK207" s="34"/>
      <c r="AL207" s="34"/>
      <c r="AM207" s="34"/>
      <c r="AN207" s="34"/>
      <c r="AO207" s="34"/>
      <c r="AP207" s="34"/>
    </row>
    <row r="208" spans="1:42">
      <c r="A208" s="3"/>
      <c r="B208" s="3"/>
      <c r="C208" s="3"/>
      <c r="D208" s="3"/>
      <c r="E208" s="3"/>
      <c r="F208" s="3"/>
      <c r="G208" s="3"/>
      <c r="H208" s="3"/>
      <c r="I208" s="34"/>
      <c r="J208" s="34"/>
      <c r="K208" s="34"/>
      <c r="L208" s="34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34"/>
      <c r="Y208" s="34"/>
      <c r="Z208" s="34"/>
      <c r="AA208" s="34"/>
      <c r="AB208" s="34"/>
      <c r="AC208" s="34"/>
      <c r="AD208" s="34"/>
      <c r="AE208" s="34"/>
      <c r="AF208" s="34"/>
      <c r="AG208" s="34"/>
      <c r="AH208" s="34"/>
      <c r="AI208" s="34"/>
      <c r="AJ208" s="34"/>
      <c r="AK208" s="34"/>
      <c r="AL208" s="34"/>
      <c r="AM208" s="34"/>
      <c r="AN208" s="34"/>
      <c r="AO208" s="34"/>
      <c r="AP208" s="34"/>
    </row>
    <row r="209" spans="1:42">
      <c r="A209" s="3"/>
      <c r="B209" s="3"/>
      <c r="C209" s="3"/>
      <c r="D209" s="3"/>
      <c r="E209" s="3"/>
      <c r="F209" s="3"/>
      <c r="G209" s="3"/>
      <c r="H209" s="3"/>
      <c r="I209" s="34"/>
      <c r="J209" s="34"/>
      <c r="K209" s="34"/>
      <c r="L209" s="34"/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34"/>
      <c r="Y209" s="34"/>
      <c r="Z209" s="34"/>
      <c r="AA209" s="34"/>
      <c r="AB209" s="34"/>
      <c r="AC209" s="34"/>
      <c r="AD209" s="34"/>
      <c r="AE209" s="34"/>
      <c r="AF209" s="34"/>
      <c r="AG209" s="34"/>
      <c r="AH209" s="34"/>
      <c r="AI209" s="34"/>
      <c r="AJ209" s="34"/>
      <c r="AK209" s="34"/>
      <c r="AL209" s="34"/>
      <c r="AM209" s="34"/>
      <c r="AN209" s="34"/>
      <c r="AO209" s="34"/>
      <c r="AP209" s="34"/>
    </row>
    <row r="210" spans="1:42">
      <c r="A210" s="3"/>
      <c r="B210" s="3"/>
      <c r="C210" s="3"/>
      <c r="D210" s="3"/>
      <c r="E210" s="3"/>
      <c r="F210" s="3"/>
      <c r="G210" s="3"/>
      <c r="H210" s="3"/>
      <c r="I210" s="34"/>
      <c r="J210" s="34"/>
      <c r="K210" s="34"/>
      <c r="L210" s="34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4"/>
      <c r="X210" s="34"/>
      <c r="Y210" s="34"/>
      <c r="Z210" s="34"/>
      <c r="AA210" s="34"/>
      <c r="AB210" s="34"/>
      <c r="AC210" s="34"/>
      <c r="AD210" s="34"/>
      <c r="AE210" s="34"/>
      <c r="AF210" s="34"/>
      <c r="AG210" s="34"/>
      <c r="AH210" s="34"/>
      <c r="AI210" s="34"/>
      <c r="AJ210" s="34"/>
      <c r="AK210" s="34"/>
      <c r="AL210" s="34"/>
      <c r="AM210" s="34"/>
      <c r="AN210" s="34"/>
      <c r="AO210" s="34"/>
      <c r="AP210" s="34"/>
    </row>
    <row r="211" spans="1:42">
      <c r="A211" s="3"/>
      <c r="B211" s="3"/>
      <c r="C211" s="3"/>
      <c r="D211" s="3"/>
      <c r="E211" s="3"/>
      <c r="F211" s="3"/>
      <c r="G211" s="3"/>
      <c r="H211" s="3"/>
      <c r="I211" s="34"/>
      <c r="J211" s="34"/>
      <c r="K211" s="34"/>
      <c r="L211" s="34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  <c r="Y211" s="34"/>
      <c r="Z211" s="34"/>
      <c r="AA211" s="34"/>
      <c r="AB211" s="34"/>
      <c r="AC211" s="34"/>
      <c r="AD211" s="34"/>
      <c r="AE211" s="34"/>
      <c r="AF211" s="34"/>
      <c r="AG211" s="34"/>
      <c r="AH211" s="34"/>
      <c r="AI211" s="34"/>
      <c r="AJ211" s="34"/>
      <c r="AK211" s="34"/>
      <c r="AL211" s="34"/>
      <c r="AM211" s="34"/>
      <c r="AN211" s="34"/>
      <c r="AO211" s="34"/>
      <c r="AP211" s="34"/>
    </row>
    <row r="212" spans="1:42">
      <c r="A212" s="3"/>
      <c r="B212" s="3"/>
      <c r="C212" s="3"/>
      <c r="D212" s="3"/>
      <c r="E212" s="3"/>
      <c r="F212" s="3"/>
      <c r="G212" s="3"/>
      <c r="H212" s="3"/>
      <c r="I212" s="34"/>
      <c r="J212" s="34"/>
      <c r="K212" s="34"/>
      <c r="L212" s="34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  <c r="Y212" s="34"/>
      <c r="Z212" s="34"/>
      <c r="AA212" s="34"/>
      <c r="AB212" s="34"/>
      <c r="AC212" s="34"/>
      <c r="AD212" s="34"/>
      <c r="AE212" s="34"/>
      <c r="AF212" s="34"/>
      <c r="AG212" s="34"/>
      <c r="AH212" s="34"/>
      <c r="AI212" s="34"/>
      <c r="AJ212" s="34"/>
      <c r="AK212" s="34"/>
      <c r="AL212" s="34"/>
      <c r="AM212" s="34"/>
      <c r="AN212" s="34"/>
      <c r="AO212" s="34"/>
      <c r="AP212" s="34"/>
    </row>
    <row r="213" spans="1:42">
      <c r="A213" s="3"/>
      <c r="B213" s="3"/>
      <c r="C213" s="3"/>
      <c r="D213" s="3"/>
      <c r="E213" s="3"/>
      <c r="F213" s="3"/>
      <c r="G213" s="3"/>
      <c r="H213" s="3"/>
      <c r="I213" s="34"/>
      <c r="J213" s="34"/>
      <c r="K213" s="34"/>
      <c r="L213" s="34"/>
      <c r="M213" s="34"/>
      <c r="N213" s="34"/>
      <c r="O213" s="34"/>
      <c r="P213" s="34"/>
      <c r="Q213" s="34"/>
      <c r="R213" s="34"/>
      <c r="S213" s="34"/>
      <c r="T213" s="34"/>
      <c r="U213" s="34"/>
      <c r="V213" s="34"/>
      <c r="W213" s="34"/>
      <c r="X213" s="34"/>
      <c r="Y213" s="34"/>
      <c r="Z213" s="34"/>
      <c r="AA213" s="34"/>
      <c r="AB213" s="34"/>
      <c r="AC213" s="34"/>
      <c r="AD213" s="34"/>
      <c r="AE213" s="34"/>
      <c r="AF213" s="34"/>
      <c r="AG213" s="34"/>
      <c r="AH213" s="34"/>
      <c r="AI213" s="34"/>
      <c r="AJ213" s="34"/>
      <c r="AK213" s="34"/>
      <c r="AL213" s="34"/>
      <c r="AM213" s="34"/>
      <c r="AN213" s="34"/>
      <c r="AO213" s="34"/>
      <c r="AP213" s="34"/>
    </row>
    <row r="214" spans="1:42">
      <c r="A214" s="3"/>
      <c r="B214" s="3"/>
      <c r="C214" s="3"/>
      <c r="D214" s="3"/>
      <c r="E214" s="3"/>
      <c r="F214" s="3"/>
      <c r="G214" s="3"/>
      <c r="H214" s="3"/>
      <c r="I214" s="34"/>
      <c r="J214" s="34"/>
      <c r="K214" s="34"/>
      <c r="L214" s="34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34"/>
      <c r="Y214" s="34"/>
      <c r="Z214" s="34"/>
      <c r="AA214" s="34"/>
      <c r="AB214" s="34"/>
      <c r="AC214" s="34"/>
      <c r="AD214" s="34"/>
      <c r="AE214" s="34"/>
      <c r="AF214" s="34"/>
      <c r="AG214" s="34"/>
      <c r="AH214" s="34"/>
      <c r="AI214" s="34"/>
      <c r="AJ214" s="34"/>
      <c r="AK214" s="34"/>
      <c r="AL214" s="34"/>
      <c r="AM214" s="34"/>
      <c r="AN214" s="34"/>
      <c r="AO214" s="34"/>
      <c r="AP214" s="34"/>
    </row>
    <row r="215" spans="1:42">
      <c r="A215" s="3"/>
      <c r="B215" s="3"/>
      <c r="C215" s="3"/>
      <c r="D215" s="3"/>
      <c r="E215" s="3"/>
      <c r="F215" s="3"/>
      <c r="G215" s="3"/>
      <c r="H215" s="3"/>
      <c r="I215" s="34"/>
      <c r="J215" s="3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34"/>
      <c r="Z215" s="34"/>
      <c r="AA215" s="34"/>
      <c r="AB215" s="34"/>
      <c r="AC215" s="34"/>
      <c r="AD215" s="34"/>
      <c r="AE215" s="34"/>
      <c r="AF215" s="34"/>
      <c r="AG215" s="34"/>
      <c r="AH215" s="34"/>
      <c r="AI215" s="34"/>
      <c r="AJ215" s="34"/>
      <c r="AK215" s="34"/>
      <c r="AL215" s="34"/>
      <c r="AM215" s="34"/>
      <c r="AN215" s="34"/>
      <c r="AO215" s="34"/>
      <c r="AP215" s="34"/>
    </row>
    <row r="216" spans="1:42">
      <c r="A216" s="3"/>
      <c r="B216" s="3"/>
      <c r="C216" s="3"/>
      <c r="D216" s="3"/>
      <c r="E216" s="3"/>
      <c r="F216" s="3"/>
      <c r="G216" s="3"/>
      <c r="H216" s="3"/>
      <c r="I216" s="34"/>
      <c r="J216" s="34"/>
      <c r="K216" s="34"/>
      <c r="L216" s="34"/>
      <c r="M216" s="34"/>
      <c r="N216" s="34"/>
      <c r="O216" s="34"/>
      <c r="P216" s="34"/>
      <c r="Q216" s="34"/>
      <c r="R216" s="34"/>
      <c r="S216" s="34"/>
      <c r="T216" s="34"/>
      <c r="U216" s="34"/>
      <c r="V216" s="34"/>
      <c r="W216" s="34"/>
      <c r="X216" s="34"/>
      <c r="Y216" s="34"/>
      <c r="Z216" s="34"/>
      <c r="AA216" s="34"/>
      <c r="AB216" s="34"/>
      <c r="AC216" s="34"/>
      <c r="AD216" s="34"/>
      <c r="AE216" s="34"/>
      <c r="AF216" s="34"/>
      <c r="AG216" s="34"/>
      <c r="AH216" s="34"/>
      <c r="AI216" s="34"/>
      <c r="AJ216" s="34"/>
      <c r="AK216" s="34"/>
      <c r="AL216" s="34"/>
      <c r="AM216" s="34"/>
      <c r="AN216" s="34"/>
      <c r="AO216" s="34"/>
      <c r="AP216" s="34"/>
    </row>
    <row r="217" spans="1:42">
      <c r="A217" s="3"/>
      <c r="B217" s="3"/>
      <c r="C217" s="3"/>
      <c r="D217" s="3"/>
      <c r="E217" s="3"/>
      <c r="F217" s="3"/>
      <c r="G217" s="3"/>
      <c r="H217" s="3"/>
      <c r="I217" s="34"/>
      <c r="J217" s="34"/>
      <c r="K217" s="34"/>
      <c r="L217" s="34"/>
      <c r="M217" s="34"/>
      <c r="N217" s="34"/>
      <c r="O217" s="34"/>
      <c r="P217" s="34"/>
      <c r="Q217" s="34"/>
      <c r="R217" s="34"/>
      <c r="S217" s="34"/>
      <c r="T217" s="34"/>
      <c r="U217" s="34"/>
      <c r="V217" s="34"/>
      <c r="W217" s="34"/>
      <c r="X217" s="34"/>
      <c r="Y217" s="34"/>
      <c r="Z217" s="34"/>
      <c r="AA217" s="34"/>
      <c r="AB217" s="34"/>
      <c r="AC217" s="34"/>
      <c r="AD217" s="34"/>
      <c r="AE217" s="34"/>
      <c r="AF217" s="34"/>
      <c r="AG217" s="34"/>
      <c r="AH217" s="34"/>
      <c r="AI217" s="34"/>
      <c r="AJ217" s="34"/>
      <c r="AK217" s="34"/>
      <c r="AL217" s="34"/>
      <c r="AM217" s="34"/>
      <c r="AN217" s="34"/>
      <c r="AO217" s="34"/>
      <c r="AP217" s="34"/>
    </row>
    <row r="218" spans="1:42">
      <c r="A218" s="3"/>
      <c r="B218" s="3"/>
      <c r="C218" s="3"/>
      <c r="D218" s="3"/>
      <c r="E218" s="3"/>
      <c r="F218" s="3"/>
      <c r="G218" s="3"/>
      <c r="H218" s="3"/>
      <c r="I218" s="34"/>
      <c r="J218" s="34"/>
      <c r="K218" s="34"/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  <c r="Y218" s="34"/>
      <c r="Z218" s="34"/>
      <c r="AA218" s="34"/>
      <c r="AB218" s="34"/>
      <c r="AC218" s="34"/>
      <c r="AD218" s="34"/>
      <c r="AE218" s="34"/>
      <c r="AF218" s="34"/>
      <c r="AG218" s="34"/>
      <c r="AH218" s="34"/>
      <c r="AI218" s="34"/>
      <c r="AJ218" s="34"/>
      <c r="AK218" s="34"/>
      <c r="AL218" s="34"/>
      <c r="AM218" s="34"/>
      <c r="AN218" s="34"/>
      <c r="AO218" s="34"/>
      <c r="AP218" s="34"/>
    </row>
    <row r="219" spans="1:42">
      <c r="A219" s="3"/>
      <c r="B219" s="3"/>
      <c r="C219" s="3"/>
      <c r="D219" s="3"/>
      <c r="E219" s="3"/>
      <c r="F219" s="3"/>
      <c r="G219" s="3"/>
      <c r="H219" s="3"/>
      <c r="I219" s="34"/>
      <c r="J219" s="34"/>
      <c r="K219" s="34"/>
      <c r="L219" s="34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34"/>
      <c r="Y219" s="34"/>
      <c r="Z219" s="34"/>
      <c r="AA219" s="34"/>
      <c r="AB219" s="34"/>
      <c r="AC219" s="34"/>
      <c r="AD219" s="34"/>
      <c r="AE219" s="34"/>
      <c r="AF219" s="34"/>
      <c r="AG219" s="34"/>
      <c r="AH219" s="34"/>
      <c r="AI219" s="34"/>
      <c r="AJ219" s="34"/>
      <c r="AK219" s="34"/>
      <c r="AL219" s="34"/>
      <c r="AM219" s="34"/>
      <c r="AN219" s="34"/>
      <c r="AO219" s="34"/>
      <c r="AP219" s="34"/>
    </row>
    <row r="220" spans="1:42">
      <c r="A220" s="3"/>
      <c r="B220" s="3"/>
      <c r="C220" s="3"/>
      <c r="D220" s="3"/>
      <c r="E220" s="3"/>
      <c r="F220" s="3"/>
      <c r="G220" s="3"/>
      <c r="H220" s="3"/>
      <c r="I220" s="34"/>
      <c r="J220" s="34"/>
      <c r="K220" s="34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Y220" s="34"/>
      <c r="Z220" s="34"/>
      <c r="AA220" s="34"/>
      <c r="AB220" s="34"/>
      <c r="AC220" s="34"/>
      <c r="AD220" s="34"/>
      <c r="AE220" s="34"/>
      <c r="AF220" s="34"/>
      <c r="AG220" s="34"/>
      <c r="AH220" s="34"/>
      <c r="AI220" s="34"/>
      <c r="AJ220" s="34"/>
      <c r="AK220" s="34"/>
      <c r="AL220" s="34"/>
      <c r="AM220" s="34"/>
      <c r="AN220" s="34"/>
      <c r="AO220" s="34"/>
      <c r="AP220" s="34"/>
    </row>
    <row r="221" spans="1:42">
      <c r="A221" s="3"/>
      <c r="B221" s="3"/>
      <c r="C221" s="3"/>
      <c r="D221" s="3"/>
      <c r="E221" s="3"/>
      <c r="F221" s="3"/>
      <c r="G221" s="3"/>
      <c r="H221" s="3"/>
      <c r="I221" s="34"/>
      <c r="J221" s="34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4"/>
      <c r="Z221" s="34"/>
      <c r="AA221" s="34"/>
      <c r="AB221" s="34"/>
      <c r="AC221" s="34"/>
      <c r="AD221" s="34"/>
      <c r="AE221" s="34"/>
      <c r="AF221" s="34"/>
      <c r="AG221" s="34"/>
      <c r="AH221" s="34"/>
      <c r="AI221" s="34"/>
      <c r="AJ221" s="34"/>
      <c r="AK221" s="34"/>
      <c r="AL221" s="34"/>
      <c r="AM221" s="34"/>
      <c r="AN221" s="34"/>
      <c r="AO221" s="34"/>
      <c r="AP221" s="34"/>
    </row>
    <row r="222" spans="1:42">
      <c r="A222" s="3"/>
      <c r="B222" s="3"/>
      <c r="C222" s="3"/>
      <c r="D222" s="3"/>
      <c r="E222" s="3"/>
      <c r="F222" s="3"/>
      <c r="G222" s="3"/>
      <c r="H222" s="3"/>
      <c r="I222" s="34"/>
      <c r="J222" s="34"/>
      <c r="K222" s="34"/>
      <c r="L222" s="34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4"/>
      <c r="Y222" s="34"/>
      <c r="Z222" s="34"/>
      <c r="AA222" s="34"/>
      <c r="AB222" s="34"/>
      <c r="AC222" s="34"/>
      <c r="AD222" s="34"/>
      <c r="AE222" s="34"/>
      <c r="AF222" s="34"/>
      <c r="AG222" s="34"/>
      <c r="AH222" s="34"/>
      <c r="AI222" s="34"/>
      <c r="AJ222" s="34"/>
      <c r="AK222" s="34"/>
      <c r="AL222" s="34"/>
      <c r="AM222" s="34"/>
      <c r="AN222" s="34"/>
      <c r="AO222" s="34"/>
      <c r="AP222" s="34"/>
    </row>
    <row r="223" spans="1:42">
      <c r="A223" s="3"/>
      <c r="B223" s="3"/>
      <c r="C223" s="3"/>
      <c r="D223" s="3"/>
      <c r="E223" s="3"/>
      <c r="F223" s="3"/>
      <c r="G223" s="3"/>
      <c r="H223" s="3"/>
      <c r="I223" s="34"/>
      <c r="J223" s="34"/>
      <c r="K223" s="34"/>
      <c r="L223" s="34"/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  <c r="Y223" s="34"/>
      <c r="Z223" s="34"/>
      <c r="AA223" s="34"/>
      <c r="AB223" s="34"/>
      <c r="AC223" s="34"/>
      <c r="AD223" s="34"/>
      <c r="AE223" s="34"/>
      <c r="AF223" s="34"/>
      <c r="AG223" s="34"/>
      <c r="AH223" s="34"/>
      <c r="AI223" s="34"/>
      <c r="AJ223" s="34"/>
      <c r="AK223" s="34"/>
      <c r="AL223" s="34"/>
      <c r="AM223" s="34"/>
      <c r="AN223" s="34"/>
      <c r="AO223" s="34"/>
      <c r="AP223" s="34"/>
    </row>
    <row r="224" spans="1:42">
      <c r="A224" s="3"/>
      <c r="B224" s="3"/>
      <c r="C224" s="3"/>
      <c r="D224" s="3"/>
      <c r="E224" s="3"/>
      <c r="F224" s="3"/>
      <c r="G224" s="3"/>
      <c r="H224" s="3"/>
      <c r="I224" s="34"/>
      <c r="J224" s="34"/>
      <c r="K224" s="34"/>
      <c r="L224" s="34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34"/>
      <c r="Y224" s="34"/>
      <c r="Z224" s="34"/>
      <c r="AA224" s="34"/>
      <c r="AB224" s="34"/>
      <c r="AC224" s="34"/>
      <c r="AD224" s="34"/>
      <c r="AE224" s="34"/>
      <c r="AF224" s="34"/>
      <c r="AG224" s="34"/>
      <c r="AH224" s="34"/>
      <c r="AI224" s="34"/>
      <c r="AJ224" s="34"/>
      <c r="AK224" s="34"/>
      <c r="AL224" s="34"/>
      <c r="AM224" s="34"/>
      <c r="AN224" s="34"/>
      <c r="AO224" s="34"/>
      <c r="AP224" s="34"/>
    </row>
    <row r="225" spans="1:42">
      <c r="A225" s="3"/>
      <c r="B225" s="3"/>
      <c r="C225" s="3"/>
      <c r="D225" s="3"/>
      <c r="E225" s="3"/>
      <c r="F225" s="3"/>
      <c r="G225" s="3"/>
      <c r="H225" s="3"/>
      <c r="I225" s="34"/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  <c r="Z225" s="34"/>
      <c r="AA225" s="34"/>
      <c r="AB225" s="34"/>
      <c r="AC225" s="34"/>
      <c r="AD225" s="34"/>
      <c r="AE225" s="34"/>
      <c r="AF225" s="34"/>
      <c r="AG225" s="34"/>
      <c r="AH225" s="34"/>
      <c r="AI225" s="34"/>
      <c r="AJ225" s="34"/>
      <c r="AK225" s="34"/>
      <c r="AL225" s="34"/>
      <c r="AM225" s="34"/>
      <c r="AN225" s="34"/>
      <c r="AO225" s="34"/>
      <c r="AP225" s="34"/>
    </row>
    <row r="226" spans="1:42">
      <c r="A226" s="3"/>
      <c r="B226" s="3"/>
      <c r="C226" s="3"/>
      <c r="D226" s="3"/>
      <c r="E226" s="3"/>
      <c r="F226" s="3"/>
      <c r="G226" s="3"/>
      <c r="H226" s="3"/>
      <c r="I226" s="34"/>
      <c r="J226" s="34"/>
      <c r="K226" s="34"/>
      <c r="L226" s="34"/>
      <c r="M226" s="34"/>
      <c r="N226" s="34"/>
      <c r="O226" s="34"/>
      <c r="P226" s="34"/>
      <c r="Q226" s="34"/>
      <c r="R226" s="34"/>
      <c r="S226" s="34"/>
      <c r="T226" s="34"/>
      <c r="U226" s="34"/>
      <c r="V226" s="34"/>
      <c r="W226" s="34"/>
      <c r="X226" s="34"/>
      <c r="Y226" s="34"/>
      <c r="Z226" s="34"/>
      <c r="AA226" s="34"/>
      <c r="AB226" s="34"/>
      <c r="AC226" s="34"/>
      <c r="AD226" s="34"/>
      <c r="AE226" s="34"/>
      <c r="AF226" s="34"/>
      <c r="AG226" s="34"/>
      <c r="AH226" s="34"/>
      <c r="AI226" s="34"/>
      <c r="AJ226" s="34"/>
      <c r="AK226" s="34"/>
      <c r="AL226" s="34"/>
      <c r="AM226" s="34"/>
      <c r="AN226" s="34"/>
      <c r="AO226" s="34"/>
      <c r="AP226" s="34"/>
    </row>
    <row r="227" spans="1:42">
      <c r="A227" s="3"/>
      <c r="B227" s="3"/>
      <c r="C227" s="3"/>
      <c r="D227" s="3"/>
      <c r="E227" s="3"/>
      <c r="F227" s="3"/>
      <c r="G227" s="3"/>
      <c r="H227" s="3"/>
      <c r="I227" s="34"/>
      <c r="J227" s="34"/>
      <c r="K227" s="34"/>
      <c r="L227" s="34"/>
      <c r="M227" s="34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34"/>
      <c r="Y227" s="34"/>
      <c r="Z227" s="34"/>
      <c r="AA227" s="34"/>
      <c r="AB227" s="34"/>
      <c r="AC227" s="34"/>
      <c r="AD227" s="34"/>
      <c r="AE227" s="34"/>
      <c r="AF227" s="34"/>
      <c r="AG227" s="34"/>
      <c r="AH227" s="34"/>
      <c r="AI227" s="34"/>
      <c r="AJ227" s="34"/>
      <c r="AK227" s="34"/>
      <c r="AL227" s="34"/>
      <c r="AM227" s="34"/>
      <c r="AN227" s="34"/>
      <c r="AO227" s="34"/>
      <c r="AP227" s="34"/>
    </row>
    <row r="228" spans="1:42">
      <c r="A228" s="3"/>
      <c r="B228" s="3"/>
      <c r="C228" s="3"/>
      <c r="D228" s="3"/>
      <c r="E228" s="3"/>
      <c r="F228" s="3"/>
      <c r="G228" s="3"/>
      <c r="H228" s="3"/>
      <c r="I228" s="34"/>
      <c r="J228" s="34"/>
      <c r="K228" s="34"/>
      <c r="L228" s="34"/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34"/>
      <c r="Y228" s="34"/>
      <c r="Z228" s="34"/>
      <c r="AA228" s="34"/>
      <c r="AB228" s="34"/>
      <c r="AC228" s="34"/>
      <c r="AD228" s="34"/>
      <c r="AE228" s="34"/>
      <c r="AF228" s="34"/>
      <c r="AG228" s="34"/>
      <c r="AH228" s="34"/>
      <c r="AI228" s="34"/>
      <c r="AJ228" s="34"/>
      <c r="AK228" s="34"/>
      <c r="AL228" s="34"/>
      <c r="AM228" s="34"/>
      <c r="AN228" s="34"/>
      <c r="AO228" s="34"/>
      <c r="AP228" s="34"/>
    </row>
    <row r="229" spans="1:42">
      <c r="A229" s="3"/>
      <c r="B229" s="3"/>
      <c r="C229" s="3"/>
      <c r="D229" s="3"/>
      <c r="E229" s="3"/>
      <c r="F229" s="3"/>
      <c r="G229" s="3"/>
      <c r="H229" s="3"/>
      <c r="I229" s="34"/>
      <c r="J229" s="34"/>
      <c r="K229" s="34"/>
      <c r="L229" s="34"/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34"/>
      <c r="Y229" s="34"/>
      <c r="Z229" s="34"/>
      <c r="AA229" s="34"/>
      <c r="AB229" s="34"/>
      <c r="AC229" s="34"/>
      <c r="AD229" s="34"/>
      <c r="AE229" s="34"/>
      <c r="AF229" s="34"/>
      <c r="AG229" s="34"/>
      <c r="AH229" s="34"/>
      <c r="AI229" s="34"/>
      <c r="AJ229" s="34"/>
      <c r="AK229" s="34"/>
      <c r="AL229" s="34"/>
      <c r="AM229" s="34"/>
      <c r="AN229" s="34"/>
      <c r="AO229" s="34"/>
      <c r="AP229" s="34"/>
    </row>
    <row r="230" spans="1:42">
      <c r="A230" s="3"/>
      <c r="B230" s="3"/>
      <c r="C230" s="3"/>
      <c r="D230" s="3"/>
      <c r="E230" s="3"/>
      <c r="F230" s="3"/>
      <c r="G230" s="3"/>
      <c r="H230" s="3"/>
      <c r="I230" s="34"/>
      <c r="J230" s="34"/>
      <c r="K230" s="34"/>
      <c r="L230" s="34"/>
      <c r="M230" s="34"/>
      <c r="N230" s="34"/>
      <c r="O230" s="34"/>
      <c r="P230" s="34"/>
      <c r="Q230" s="34"/>
      <c r="R230" s="34"/>
      <c r="S230" s="34"/>
      <c r="T230" s="34"/>
      <c r="U230" s="34"/>
      <c r="V230" s="34"/>
      <c r="W230" s="34"/>
      <c r="X230" s="34"/>
      <c r="Y230" s="34"/>
      <c r="Z230" s="34"/>
      <c r="AA230" s="34"/>
      <c r="AB230" s="34"/>
      <c r="AC230" s="34"/>
      <c r="AD230" s="34"/>
      <c r="AE230" s="34"/>
      <c r="AF230" s="34"/>
      <c r="AG230" s="34"/>
      <c r="AH230" s="34"/>
      <c r="AI230" s="34"/>
      <c r="AJ230" s="34"/>
      <c r="AK230" s="34"/>
      <c r="AL230" s="34"/>
      <c r="AM230" s="34"/>
      <c r="AN230" s="34"/>
      <c r="AO230" s="34"/>
      <c r="AP230" s="34"/>
    </row>
    <row r="231" spans="1:42">
      <c r="A231" s="3"/>
      <c r="B231" s="3"/>
      <c r="C231" s="3"/>
      <c r="D231" s="3"/>
      <c r="E231" s="3"/>
      <c r="F231" s="3"/>
      <c r="G231" s="3"/>
      <c r="H231" s="3"/>
      <c r="I231" s="34"/>
      <c r="J231" s="34"/>
      <c r="K231" s="34"/>
      <c r="L231" s="34"/>
      <c r="M231" s="34"/>
      <c r="N231" s="34"/>
      <c r="O231" s="34"/>
      <c r="P231" s="34"/>
      <c r="Q231" s="34"/>
      <c r="R231" s="34"/>
      <c r="S231" s="34"/>
      <c r="T231" s="34"/>
      <c r="U231" s="34"/>
      <c r="V231" s="34"/>
      <c r="W231" s="34"/>
      <c r="X231" s="34"/>
      <c r="Y231" s="34"/>
      <c r="Z231" s="34"/>
      <c r="AA231" s="34"/>
      <c r="AB231" s="34"/>
      <c r="AC231" s="34"/>
      <c r="AD231" s="34"/>
      <c r="AE231" s="34"/>
      <c r="AF231" s="34"/>
      <c r="AG231" s="34"/>
      <c r="AH231" s="34"/>
      <c r="AI231" s="34"/>
      <c r="AJ231" s="34"/>
      <c r="AK231" s="34"/>
      <c r="AL231" s="34"/>
      <c r="AM231" s="34"/>
      <c r="AN231" s="34"/>
      <c r="AO231" s="34"/>
      <c r="AP231" s="34"/>
    </row>
    <row r="232" spans="1:42">
      <c r="A232" s="3"/>
      <c r="B232" s="3"/>
      <c r="C232" s="3"/>
      <c r="D232" s="3"/>
      <c r="E232" s="3"/>
      <c r="F232" s="3"/>
      <c r="G232" s="3"/>
      <c r="H232" s="3"/>
      <c r="I232" s="34"/>
      <c r="J232" s="34"/>
      <c r="K232" s="34"/>
      <c r="L232" s="34"/>
      <c r="M232" s="34"/>
      <c r="N232" s="34"/>
      <c r="O232" s="34"/>
      <c r="P232" s="34"/>
      <c r="Q232" s="34"/>
      <c r="R232" s="34"/>
      <c r="S232" s="34"/>
      <c r="T232" s="34"/>
      <c r="U232" s="34"/>
      <c r="V232" s="34"/>
      <c r="W232" s="34"/>
      <c r="X232" s="34"/>
      <c r="Y232" s="34"/>
      <c r="Z232" s="34"/>
      <c r="AA232" s="34"/>
      <c r="AB232" s="34"/>
      <c r="AC232" s="34"/>
      <c r="AD232" s="34"/>
      <c r="AE232" s="34"/>
      <c r="AF232" s="34"/>
      <c r="AG232" s="34"/>
      <c r="AH232" s="34"/>
      <c r="AI232" s="34"/>
      <c r="AJ232" s="34"/>
      <c r="AK232" s="34"/>
      <c r="AL232" s="34"/>
      <c r="AM232" s="34"/>
      <c r="AN232" s="34"/>
      <c r="AO232" s="34"/>
      <c r="AP232" s="34"/>
    </row>
    <row r="233" spans="1:42">
      <c r="A233" s="3"/>
      <c r="B233" s="3"/>
      <c r="C233" s="3"/>
      <c r="D233" s="3"/>
      <c r="E233" s="3"/>
      <c r="F233" s="3"/>
      <c r="G233" s="3"/>
      <c r="H233" s="3"/>
      <c r="I233" s="34"/>
      <c r="J233" s="34"/>
      <c r="K233" s="34"/>
      <c r="L233" s="34"/>
      <c r="M233" s="34"/>
      <c r="N233" s="34"/>
      <c r="O233" s="34"/>
      <c r="P233" s="34"/>
      <c r="Q233" s="34"/>
      <c r="R233" s="34"/>
      <c r="S233" s="34"/>
      <c r="T233" s="34"/>
      <c r="U233" s="34"/>
      <c r="V233" s="34"/>
      <c r="W233" s="34"/>
      <c r="X233" s="34"/>
      <c r="Y233" s="34"/>
      <c r="Z233" s="34"/>
      <c r="AA233" s="34"/>
      <c r="AB233" s="34"/>
      <c r="AC233" s="34"/>
      <c r="AD233" s="34"/>
      <c r="AE233" s="34"/>
      <c r="AF233" s="34"/>
      <c r="AG233" s="34"/>
      <c r="AH233" s="34"/>
      <c r="AI233" s="34"/>
      <c r="AJ233" s="34"/>
      <c r="AK233" s="34"/>
      <c r="AL233" s="34"/>
      <c r="AM233" s="34"/>
      <c r="AN233" s="34"/>
      <c r="AO233" s="34"/>
      <c r="AP233" s="34"/>
    </row>
    <row r="234" spans="1:42">
      <c r="A234" s="3"/>
      <c r="B234" s="3"/>
      <c r="C234" s="3"/>
      <c r="D234" s="3"/>
      <c r="E234" s="3"/>
      <c r="F234" s="3"/>
      <c r="G234" s="3"/>
      <c r="H234" s="3"/>
      <c r="I234" s="34"/>
      <c r="J234" s="34"/>
      <c r="K234" s="34"/>
      <c r="L234" s="34"/>
      <c r="M234" s="34"/>
      <c r="N234" s="34"/>
      <c r="O234" s="34"/>
      <c r="P234" s="34"/>
      <c r="Q234" s="34"/>
      <c r="R234" s="34"/>
      <c r="S234" s="34"/>
      <c r="T234" s="34"/>
      <c r="U234" s="34"/>
      <c r="V234" s="34"/>
      <c r="W234" s="34"/>
      <c r="X234" s="34"/>
      <c r="Y234" s="34"/>
      <c r="Z234" s="34"/>
      <c r="AA234" s="34"/>
      <c r="AB234" s="34"/>
      <c r="AC234" s="34"/>
      <c r="AD234" s="34"/>
      <c r="AE234" s="34"/>
      <c r="AF234" s="34"/>
      <c r="AG234" s="34"/>
      <c r="AH234" s="34"/>
      <c r="AI234" s="34"/>
      <c r="AJ234" s="34"/>
      <c r="AK234" s="34"/>
      <c r="AL234" s="34"/>
      <c r="AM234" s="34"/>
      <c r="AN234" s="34"/>
      <c r="AO234" s="34"/>
      <c r="AP234" s="34"/>
    </row>
    <row r="235" spans="1:42">
      <c r="A235" s="3"/>
      <c r="B235" s="3"/>
      <c r="C235" s="3"/>
      <c r="D235" s="3"/>
      <c r="E235" s="3"/>
      <c r="F235" s="3"/>
      <c r="G235" s="3"/>
      <c r="H235" s="3"/>
      <c r="I235" s="34"/>
      <c r="J235" s="34"/>
      <c r="K235" s="34"/>
      <c r="L235" s="34"/>
      <c r="M235" s="34"/>
      <c r="N235" s="34"/>
      <c r="O235" s="34"/>
      <c r="P235" s="34"/>
      <c r="Q235" s="34"/>
      <c r="R235" s="34"/>
      <c r="S235" s="34"/>
      <c r="T235" s="34"/>
      <c r="U235" s="34"/>
      <c r="V235" s="34"/>
      <c r="W235" s="34"/>
      <c r="X235" s="34"/>
      <c r="Y235" s="34"/>
      <c r="Z235" s="34"/>
      <c r="AA235" s="34"/>
      <c r="AB235" s="34"/>
      <c r="AC235" s="34"/>
      <c r="AD235" s="34"/>
      <c r="AE235" s="34"/>
      <c r="AF235" s="34"/>
      <c r="AG235" s="34"/>
      <c r="AH235" s="34"/>
      <c r="AI235" s="34"/>
      <c r="AJ235" s="34"/>
      <c r="AK235" s="34"/>
      <c r="AL235" s="34"/>
      <c r="AM235" s="34"/>
      <c r="AN235" s="34"/>
      <c r="AO235" s="34"/>
      <c r="AP235" s="34"/>
    </row>
    <row r="236" spans="1:42">
      <c r="A236" s="3"/>
      <c r="B236" s="3"/>
      <c r="C236" s="3"/>
      <c r="D236" s="3"/>
      <c r="E236" s="3"/>
      <c r="F236" s="3"/>
      <c r="G236" s="3"/>
      <c r="H236" s="3"/>
      <c r="I236" s="34"/>
      <c r="J236" s="34"/>
      <c r="K236" s="34"/>
      <c r="L236" s="34"/>
      <c r="M236" s="34"/>
      <c r="N236" s="34"/>
      <c r="O236" s="34"/>
      <c r="P236" s="34"/>
      <c r="Q236" s="34"/>
      <c r="R236" s="34"/>
      <c r="S236" s="34"/>
      <c r="T236" s="34"/>
      <c r="U236" s="34"/>
      <c r="V236" s="34"/>
      <c r="W236" s="34"/>
      <c r="X236" s="34"/>
      <c r="Y236" s="34"/>
      <c r="Z236" s="34"/>
      <c r="AA236" s="34"/>
      <c r="AB236" s="34"/>
      <c r="AC236" s="34"/>
      <c r="AD236" s="34"/>
      <c r="AE236" s="34"/>
      <c r="AF236" s="34"/>
      <c r="AG236" s="34"/>
      <c r="AH236" s="34"/>
      <c r="AI236" s="34"/>
      <c r="AJ236" s="34"/>
      <c r="AK236" s="34"/>
      <c r="AL236" s="34"/>
      <c r="AM236" s="34"/>
      <c r="AN236" s="34"/>
      <c r="AO236" s="34"/>
      <c r="AP236" s="34"/>
    </row>
    <row r="237" spans="1:42">
      <c r="A237" s="3"/>
      <c r="B237" s="3"/>
      <c r="C237" s="3"/>
      <c r="D237" s="3"/>
      <c r="E237" s="3"/>
      <c r="F237" s="3"/>
      <c r="G237" s="3"/>
      <c r="H237" s="3"/>
      <c r="I237" s="34"/>
      <c r="J237" s="34"/>
      <c r="K237" s="34"/>
      <c r="L237" s="34"/>
      <c r="M237" s="34"/>
      <c r="N237" s="34"/>
      <c r="O237" s="34"/>
      <c r="P237" s="34"/>
      <c r="Q237" s="34"/>
      <c r="R237" s="34"/>
      <c r="S237" s="34"/>
      <c r="T237" s="34"/>
      <c r="U237" s="34"/>
      <c r="V237" s="34"/>
      <c r="W237" s="34"/>
      <c r="X237" s="34"/>
      <c r="Y237" s="34"/>
      <c r="Z237" s="34"/>
      <c r="AA237" s="34"/>
      <c r="AB237" s="34"/>
      <c r="AC237" s="34"/>
      <c r="AD237" s="34"/>
      <c r="AE237" s="34"/>
      <c r="AF237" s="34"/>
      <c r="AG237" s="34"/>
      <c r="AH237" s="34"/>
      <c r="AI237" s="34"/>
      <c r="AJ237" s="34"/>
      <c r="AK237" s="34"/>
      <c r="AL237" s="34"/>
      <c r="AM237" s="34"/>
      <c r="AN237" s="34"/>
      <c r="AO237" s="34"/>
      <c r="AP237" s="34"/>
    </row>
    <row r="238" spans="1:42">
      <c r="A238" s="3"/>
      <c r="B238" s="3"/>
      <c r="C238" s="3"/>
      <c r="D238" s="3"/>
      <c r="E238" s="3"/>
      <c r="F238" s="3"/>
      <c r="G238" s="3"/>
      <c r="H238" s="3"/>
      <c r="I238" s="34"/>
      <c r="J238" s="34"/>
      <c r="K238" s="34"/>
      <c r="L238" s="34"/>
      <c r="M238" s="34"/>
      <c r="N238" s="34"/>
      <c r="O238" s="34"/>
      <c r="P238" s="34"/>
      <c r="Q238" s="34"/>
      <c r="R238" s="34"/>
      <c r="S238" s="34"/>
      <c r="T238" s="34"/>
      <c r="U238" s="34"/>
      <c r="V238" s="34"/>
      <c r="W238" s="34"/>
      <c r="X238" s="34"/>
      <c r="Y238" s="34"/>
      <c r="Z238" s="34"/>
      <c r="AA238" s="34"/>
      <c r="AB238" s="34"/>
      <c r="AC238" s="34"/>
      <c r="AD238" s="34"/>
      <c r="AE238" s="34"/>
      <c r="AF238" s="34"/>
      <c r="AG238" s="34"/>
      <c r="AH238" s="34"/>
      <c r="AI238" s="34"/>
      <c r="AJ238" s="34"/>
      <c r="AK238" s="34"/>
      <c r="AL238" s="34"/>
      <c r="AM238" s="34"/>
      <c r="AN238" s="34"/>
      <c r="AO238" s="34"/>
      <c r="AP238" s="34"/>
    </row>
    <row r="239" spans="1:42">
      <c r="A239" s="3"/>
      <c r="B239" s="3"/>
      <c r="C239" s="3"/>
      <c r="D239" s="3"/>
      <c r="E239" s="3"/>
      <c r="F239" s="3"/>
      <c r="G239" s="3"/>
      <c r="H239" s="3"/>
      <c r="I239" s="34"/>
      <c r="J239" s="34"/>
      <c r="K239" s="34"/>
      <c r="L239" s="34"/>
      <c r="M239" s="34"/>
      <c r="N239" s="34"/>
      <c r="O239" s="34"/>
      <c r="P239" s="34"/>
      <c r="Q239" s="34"/>
      <c r="R239" s="34"/>
      <c r="S239" s="34"/>
      <c r="T239" s="34"/>
      <c r="U239" s="34"/>
      <c r="V239" s="34"/>
      <c r="W239" s="34"/>
      <c r="X239" s="34"/>
      <c r="Y239" s="34"/>
      <c r="Z239" s="34"/>
      <c r="AA239" s="34"/>
      <c r="AB239" s="34"/>
      <c r="AC239" s="34"/>
      <c r="AD239" s="34"/>
      <c r="AE239" s="34"/>
      <c r="AF239" s="34"/>
      <c r="AG239" s="34"/>
      <c r="AH239" s="34"/>
      <c r="AI239" s="34"/>
      <c r="AJ239" s="34"/>
      <c r="AK239" s="34"/>
      <c r="AL239" s="34"/>
      <c r="AM239" s="34"/>
      <c r="AN239" s="34"/>
      <c r="AO239" s="34"/>
      <c r="AP239" s="34"/>
    </row>
    <row r="240" spans="1:42">
      <c r="A240" s="3"/>
      <c r="B240" s="3"/>
      <c r="C240" s="3"/>
      <c r="D240" s="3"/>
      <c r="E240" s="3"/>
      <c r="F240" s="3"/>
      <c r="G240" s="3"/>
      <c r="H240" s="3"/>
      <c r="I240" s="34"/>
      <c r="J240" s="34"/>
      <c r="K240" s="34"/>
      <c r="L240" s="34"/>
      <c r="M240" s="34"/>
      <c r="N240" s="34"/>
      <c r="O240" s="34"/>
      <c r="P240" s="34"/>
      <c r="Q240" s="34"/>
      <c r="R240" s="34"/>
      <c r="S240" s="34"/>
      <c r="T240" s="34"/>
      <c r="U240" s="34"/>
      <c r="V240" s="34"/>
      <c r="W240" s="34"/>
      <c r="X240" s="34"/>
      <c r="Y240" s="34"/>
      <c r="Z240" s="34"/>
      <c r="AA240" s="34"/>
      <c r="AB240" s="34"/>
      <c r="AC240" s="34"/>
      <c r="AD240" s="34"/>
      <c r="AE240" s="34"/>
      <c r="AF240" s="34"/>
      <c r="AG240" s="34"/>
      <c r="AH240" s="34"/>
      <c r="AI240" s="34"/>
      <c r="AJ240" s="34"/>
      <c r="AK240" s="34"/>
      <c r="AL240" s="34"/>
      <c r="AM240" s="34"/>
      <c r="AN240" s="34"/>
      <c r="AO240" s="34"/>
      <c r="AP240" s="34"/>
    </row>
    <row r="241" spans="1:42">
      <c r="A241" s="3"/>
      <c r="B241" s="3"/>
      <c r="C241" s="3"/>
      <c r="D241" s="3"/>
      <c r="E241" s="3"/>
      <c r="F241" s="3"/>
      <c r="G241" s="3"/>
      <c r="H241" s="3"/>
      <c r="I241" s="34"/>
      <c r="J241" s="34"/>
      <c r="K241" s="34"/>
      <c r="L241" s="34"/>
      <c r="M241" s="34"/>
      <c r="N241" s="34"/>
      <c r="O241" s="34"/>
      <c r="P241" s="34"/>
      <c r="Q241" s="34"/>
      <c r="R241" s="34"/>
      <c r="S241" s="34"/>
      <c r="T241" s="34"/>
      <c r="U241" s="34"/>
      <c r="V241" s="34"/>
      <c r="W241" s="34"/>
      <c r="X241" s="34"/>
      <c r="Y241" s="34"/>
      <c r="Z241" s="34"/>
      <c r="AA241" s="34"/>
      <c r="AB241" s="34"/>
      <c r="AC241" s="34"/>
      <c r="AD241" s="34"/>
      <c r="AE241" s="34"/>
      <c r="AF241" s="34"/>
      <c r="AG241" s="34"/>
      <c r="AH241" s="34"/>
      <c r="AI241" s="34"/>
      <c r="AJ241" s="34"/>
      <c r="AK241" s="34"/>
      <c r="AL241" s="34"/>
      <c r="AM241" s="34"/>
      <c r="AN241" s="34"/>
      <c r="AO241" s="34"/>
      <c r="AP241" s="34"/>
    </row>
    <row r="242" spans="1:42">
      <c r="A242" s="3"/>
      <c r="B242" s="3"/>
      <c r="C242" s="3"/>
      <c r="D242" s="3"/>
      <c r="E242" s="3"/>
      <c r="F242" s="3"/>
      <c r="G242" s="3"/>
      <c r="H242" s="3"/>
      <c r="I242" s="34"/>
      <c r="J242" s="34"/>
      <c r="K242" s="34"/>
      <c r="L242" s="34"/>
      <c r="M242" s="34"/>
      <c r="N242" s="34"/>
      <c r="O242" s="34"/>
      <c r="P242" s="34"/>
      <c r="Q242" s="34"/>
      <c r="R242" s="34"/>
      <c r="S242" s="34"/>
      <c r="T242" s="34"/>
      <c r="U242" s="34"/>
      <c r="V242" s="34"/>
      <c r="W242" s="34"/>
      <c r="X242" s="34"/>
      <c r="Y242" s="34"/>
      <c r="Z242" s="34"/>
      <c r="AA242" s="34"/>
      <c r="AB242" s="34"/>
      <c r="AC242" s="34"/>
      <c r="AD242" s="34"/>
      <c r="AE242" s="34"/>
      <c r="AF242" s="34"/>
      <c r="AG242" s="34"/>
      <c r="AH242" s="34"/>
      <c r="AI242" s="34"/>
      <c r="AJ242" s="34"/>
      <c r="AK242" s="34"/>
      <c r="AL242" s="34"/>
      <c r="AM242" s="34"/>
      <c r="AN242" s="34"/>
      <c r="AO242" s="34"/>
      <c r="AP242" s="34"/>
    </row>
    <row r="243" spans="1:42">
      <c r="A243" s="3"/>
      <c r="B243" s="3"/>
      <c r="C243" s="3"/>
      <c r="D243" s="3"/>
      <c r="E243" s="3"/>
      <c r="F243" s="3"/>
      <c r="G243" s="3"/>
      <c r="H243" s="3"/>
      <c r="I243" s="34"/>
      <c r="J243" s="34"/>
      <c r="K243" s="34"/>
      <c r="L243" s="34"/>
      <c r="M243" s="34"/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X243" s="34"/>
      <c r="Y243" s="34"/>
      <c r="Z243" s="34"/>
      <c r="AA243" s="34"/>
      <c r="AB243" s="34"/>
      <c r="AC243" s="34"/>
      <c r="AD243" s="34"/>
      <c r="AE243" s="34"/>
      <c r="AF243" s="34"/>
      <c r="AG243" s="34"/>
      <c r="AH243" s="34"/>
      <c r="AI243" s="34"/>
      <c r="AJ243" s="34"/>
      <c r="AK243" s="34"/>
      <c r="AL243" s="34"/>
      <c r="AM243" s="34"/>
      <c r="AN243" s="34"/>
      <c r="AO243" s="34"/>
      <c r="AP243" s="34"/>
    </row>
    <row r="244" spans="1:42">
      <c r="A244" s="3"/>
      <c r="B244" s="3"/>
      <c r="C244" s="3"/>
      <c r="D244" s="3"/>
      <c r="E244" s="3"/>
      <c r="F244" s="3"/>
      <c r="G244" s="3"/>
      <c r="H244" s="3"/>
      <c r="I244" s="34"/>
      <c r="J244" s="34"/>
      <c r="K244" s="34"/>
      <c r="L244" s="34"/>
      <c r="M244" s="34"/>
      <c r="N244" s="34"/>
      <c r="O244" s="34"/>
      <c r="P244" s="34"/>
      <c r="Q244" s="34"/>
      <c r="R244" s="34"/>
      <c r="S244" s="34"/>
      <c r="T244" s="34"/>
      <c r="U244" s="34"/>
      <c r="V244" s="34"/>
      <c r="W244" s="34"/>
      <c r="X244" s="34"/>
      <c r="Y244" s="34"/>
      <c r="Z244" s="34"/>
      <c r="AA244" s="34"/>
      <c r="AB244" s="34"/>
      <c r="AC244" s="34"/>
      <c r="AD244" s="34"/>
      <c r="AE244" s="34"/>
      <c r="AF244" s="34"/>
      <c r="AG244" s="34"/>
      <c r="AH244" s="34"/>
      <c r="AI244" s="34"/>
      <c r="AJ244" s="34"/>
      <c r="AK244" s="34"/>
      <c r="AL244" s="34"/>
      <c r="AM244" s="34"/>
      <c r="AN244" s="34"/>
      <c r="AO244" s="34"/>
      <c r="AP244" s="34"/>
    </row>
    <row r="245" spans="1:42">
      <c r="A245" s="3"/>
      <c r="B245" s="3"/>
      <c r="C245" s="3"/>
      <c r="D245" s="3"/>
      <c r="E245" s="3"/>
      <c r="F245" s="3"/>
      <c r="G245" s="3"/>
      <c r="H245" s="3"/>
      <c r="I245" s="34"/>
      <c r="J245" s="34"/>
      <c r="K245" s="34"/>
      <c r="L245" s="34"/>
      <c r="M245" s="34"/>
      <c r="N245" s="34"/>
      <c r="O245" s="34"/>
      <c r="P245" s="34"/>
      <c r="Q245" s="34"/>
      <c r="R245" s="34"/>
      <c r="S245" s="34"/>
      <c r="T245" s="34"/>
      <c r="U245" s="34"/>
      <c r="V245" s="34"/>
      <c r="W245" s="34"/>
      <c r="X245" s="34"/>
      <c r="Y245" s="34"/>
      <c r="Z245" s="34"/>
      <c r="AA245" s="34"/>
      <c r="AB245" s="34"/>
      <c r="AC245" s="34"/>
      <c r="AD245" s="34"/>
      <c r="AE245" s="34"/>
      <c r="AF245" s="34"/>
      <c r="AG245" s="34"/>
      <c r="AH245" s="34"/>
      <c r="AI245" s="34"/>
      <c r="AJ245" s="34"/>
      <c r="AK245" s="34"/>
      <c r="AL245" s="34"/>
      <c r="AM245" s="34"/>
      <c r="AN245" s="34"/>
      <c r="AO245" s="34"/>
      <c r="AP245" s="34"/>
    </row>
    <row r="246" spans="1:42">
      <c r="A246" s="3"/>
      <c r="B246" s="3"/>
      <c r="C246" s="3"/>
      <c r="D246" s="3"/>
      <c r="E246" s="3"/>
      <c r="F246" s="3"/>
      <c r="G246" s="3"/>
      <c r="H246" s="3"/>
      <c r="I246" s="34"/>
      <c r="J246" s="34"/>
      <c r="K246" s="34"/>
      <c r="L246" s="34"/>
      <c r="M246" s="34"/>
      <c r="N246" s="34"/>
      <c r="O246" s="34"/>
      <c r="P246" s="34"/>
      <c r="Q246" s="34"/>
      <c r="R246" s="34"/>
      <c r="S246" s="34"/>
      <c r="T246" s="34"/>
      <c r="U246" s="34"/>
      <c r="V246" s="34"/>
      <c r="W246" s="34"/>
      <c r="X246" s="34"/>
      <c r="Y246" s="34"/>
      <c r="Z246" s="34"/>
      <c r="AA246" s="34"/>
      <c r="AB246" s="34"/>
      <c r="AC246" s="34"/>
      <c r="AD246" s="34"/>
      <c r="AE246" s="34"/>
      <c r="AF246" s="34"/>
      <c r="AG246" s="34"/>
      <c r="AH246" s="34"/>
      <c r="AI246" s="34"/>
      <c r="AJ246" s="34"/>
      <c r="AK246" s="34"/>
      <c r="AL246" s="34"/>
      <c r="AM246" s="34"/>
      <c r="AN246" s="34"/>
      <c r="AO246" s="34"/>
      <c r="AP246" s="34"/>
    </row>
    <row r="247" spans="1:42">
      <c r="A247" s="3"/>
      <c r="B247" s="3"/>
      <c r="C247" s="3"/>
      <c r="D247" s="3"/>
      <c r="E247" s="3"/>
      <c r="F247" s="3"/>
      <c r="G247" s="3"/>
      <c r="H247" s="3"/>
      <c r="I247" s="34"/>
      <c r="J247" s="34"/>
      <c r="K247" s="34"/>
      <c r="L247" s="34"/>
      <c r="M247" s="34"/>
      <c r="N247" s="34"/>
      <c r="O247" s="34"/>
      <c r="P247" s="34"/>
      <c r="Q247" s="34"/>
      <c r="R247" s="34"/>
      <c r="S247" s="34"/>
      <c r="T247" s="34"/>
      <c r="U247" s="34"/>
      <c r="V247" s="34"/>
      <c r="W247" s="34"/>
      <c r="X247" s="34"/>
      <c r="Y247" s="34"/>
      <c r="Z247" s="34"/>
      <c r="AA247" s="34"/>
      <c r="AB247" s="34"/>
      <c r="AC247" s="34"/>
      <c r="AD247" s="34"/>
      <c r="AE247" s="34"/>
      <c r="AF247" s="34"/>
      <c r="AG247" s="34"/>
      <c r="AH247" s="34"/>
      <c r="AI247" s="34"/>
      <c r="AJ247" s="34"/>
      <c r="AK247" s="34"/>
      <c r="AL247" s="34"/>
      <c r="AM247" s="34"/>
      <c r="AN247" s="34"/>
      <c r="AO247" s="34"/>
      <c r="AP247" s="34"/>
    </row>
    <row r="248" spans="1:42">
      <c r="A248" s="3"/>
      <c r="B248" s="3"/>
      <c r="C248" s="3"/>
      <c r="D248" s="3"/>
      <c r="E248" s="3"/>
      <c r="F248" s="3"/>
      <c r="G248" s="3"/>
      <c r="H248" s="3"/>
      <c r="I248" s="34"/>
      <c r="J248" s="34"/>
      <c r="K248" s="34"/>
      <c r="L248" s="34"/>
      <c r="M248" s="34"/>
      <c r="N248" s="34"/>
      <c r="O248" s="34"/>
      <c r="P248" s="34"/>
      <c r="Q248" s="34"/>
      <c r="R248" s="34"/>
      <c r="S248" s="34"/>
      <c r="T248" s="34"/>
      <c r="U248" s="34"/>
      <c r="V248" s="34"/>
      <c r="W248" s="34"/>
      <c r="X248" s="34"/>
      <c r="Y248" s="34"/>
      <c r="Z248" s="34"/>
      <c r="AA248" s="34"/>
      <c r="AB248" s="34"/>
      <c r="AC248" s="34"/>
      <c r="AD248" s="34"/>
      <c r="AE248" s="34"/>
      <c r="AF248" s="34"/>
      <c r="AG248" s="34"/>
      <c r="AH248" s="34"/>
      <c r="AI248" s="34"/>
      <c r="AJ248" s="34"/>
      <c r="AK248" s="34"/>
      <c r="AL248" s="34"/>
      <c r="AM248" s="34"/>
      <c r="AN248" s="34"/>
      <c r="AO248" s="34"/>
      <c r="AP248" s="34"/>
    </row>
    <row r="249" spans="1:42">
      <c r="A249" s="3"/>
      <c r="B249" s="3"/>
      <c r="C249" s="3"/>
      <c r="D249" s="3"/>
      <c r="E249" s="3"/>
      <c r="F249" s="3"/>
      <c r="G249" s="3"/>
      <c r="H249" s="3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  <c r="AA249" s="34"/>
      <c r="AB249" s="34"/>
      <c r="AC249" s="34"/>
      <c r="AD249" s="34"/>
      <c r="AE249" s="34"/>
      <c r="AF249" s="34"/>
      <c r="AG249" s="34"/>
      <c r="AH249" s="34"/>
      <c r="AI249" s="34"/>
      <c r="AJ249" s="34"/>
      <c r="AK249" s="34"/>
      <c r="AL249" s="34"/>
      <c r="AM249" s="34"/>
      <c r="AN249" s="34"/>
      <c r="AO249" s="34"/>
      <c r="AP249" s="34"/>
    </row>
    <row r="250" spans="1:42">
      <c r="A250" s="3"/>
      <c r="B250" s="3"/>
      <c r="C250" s="3"/>
      <c r="D250" s="3"/>
      <c r="E250" s="3"/>
      <c r="F250" s="3"/>
      <c r="G250" s="3"/>
      <c r="H250" s="3"/>
      <c r="I250" s="34"/>
      <c r="J250" s="34"/>
      <c r="K250" s="34"/>
      <c r="L250" s="34"/>
      <c r="M250" s="34"/>
      <c r="N250" s="34"/>
      <c r="O250" s="34"/>
      <c r="P250" s="34"/>
      <c r="Q250" s="34"/>
      <c r="R250" s="34"/>
      <c r="S250" s="34"/>
      <c r="T250" s="34"/>
      <c r="U250" s="34"/>
      <c r="V250" s="34"/>
      <c r="W250" s="34"/>
      <c r="X250" s="34"/>
      <c r="Y250" s="34"/>
      <c r="Z250" s="34"/>
      <c r="AA250" s="34"/>
      <c r="AB250" s="34"/>
      <c r="AC250" s="34"/>
      <c r="AD250" s="34"/>
      <c r="AE250" s="34"/>
      <c r="AF250" s="34"/>
      <c r="AG250" s="34"/>
      <c r="AH250" s="34"/>
      <c r="AI250" s="34"/>
      <c r="AJ250" s="34"/>
      <c r="AK250" s="34"/>
      <c r="AL250" s="34"/>
      <c r="AM250" s="34"/>
      <c r="AN250" s="34"/>
      <c r="AO250" s="34"/>
      <c r="AP250" s="34"/>
    </row>
    <row r="251" spans="1:42">
      <c r="A251" s="3"/>
      <c r="B251" s="3"/>
      <c r="C251" s="3"/>
      <c r="D251" s="3"/>
      <c r="E251" s="3"/>
      <c r="F251" s="3"/>
      <c r="G251" s="3"/>
      <c r="H251" s="3"/>
      <c r="I251" s="34"/>
      <c r="J251" s="34"/>
      <c r="K251" s="34"/>
      <c r="L251" s="34"/>
      <c r="M251" s="34"/>
      <c r="N251" s="34"/>
      <c r="O251" s="34"/>
      <c r="P251" s="34"/>
      <c r="Q251" s="34"/>
      <c r="R251" s="34"/>
      <c r="S251" s="34"/>
      <c r="T251" s="34"/>
      <c r="U251" s="34"/>
      <c r="V251" s="34"/>
      <c r="W251" s="34"/>
      <c r="X251" s="34"/>
      <c r="Y251" s="34"/>
      <c r="Z251" s="34"/>
      <c r="AA251" s="34"/>
      <c r="AB251" s="34"/>
      <c r="AC251" s="34"/>
      <c r="AD251" s="34"/>
      <c r="AE251" s="34"/>
      <c r="AF251" s="34"/>
      <c r="AG251" s="34"/>
      <c r="AH251" s="34"/>
      <c r="AI251" s="34"/>
      <c r="AJ251" s="34"/>
      <c r="AK251" s="34"/>
      <c r="AL251" s="34"/>
      <c r="AM251" s="34"/>
      <c r="AN251" s="34"/>
      <c r="AO251" s="34"/>
      <c r="AP251" s="34"/>
    </row>
    <row r="252" spans="1:42">
      <c r="A252" s="3"/>
      <c r="B252" s="3"/>
      <c r="C252" s="3"/>
      <c r="D252" s="3"/>
      <c r="E252" s="3"/>
      <c r="F252" s="3"/>
      <c r="G252" s="3"/>
      <c r="H252" s="3"/>
      <c r="I252" s="34"/>
      <c r="J252" s="34"/>
      <c r="K252" s="34"/>
      <c r="L252" s="34"/>
      <c r="M252" s="34"/>
      <c r="N252" s="34"/>
      <c r="O252" s="34"/>
      <c r="P252" s="34"/>
      <c r="Q252" s="34"/>
      <c r="R252" s="34"/>
      <c r="S252" s="34"/>
      <c r="T252" s="34"/>
      <c r="U252" s="34"/>
      <c r="V252" s="34"/>
      <c r="W252" s="34"/>
      <c r="X252" s="34"/>
      <c r="Y252" s="34"/>
      <c r="Z252" s="34"/>
      <c r="AA252" s="34"/>
      <c r="AB252" s="34"/>
      <c r="AC252" s="34"/>
      <c r="AD252" s="34"/>
      <c r="AE252" s="34"/>
      <c r="AF252" s="34"/>
      <c r="AG252" s="34"/>
      <c r="AH252" s="34"/>
      <c r="AI252" s="34"/>
      <c r="AJ252" s="34"/>
      <c r="AK252" s="34"/>
      <c r="AL252" s="34"/>
      <c r="AM252" s="34"/>
      <c r="AN252" s="34"/>
      <c r="AO252" s="34"/>
      <c r="AP252" s="34"/>
    </row>
    <row r="253" spans="1:42">
      <c r="A253" s="3"/>
      <c r="B253" s="3"/>
      <c r="C253" s="3"/>
      <c r="D253" s="3"/>
      <c r="E253" s="3"/>
      <c r="F253" s="3"/>
      <c r="G253" s="3"/>
      <c r="H253" s="3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4"/>
      <c r="Y253" s="34"/>
      <c r="Z253" s="34"/>
      <c r="AA253" s="34"/>
      <c r="AB253" s="34"/>
      <c r="AC253" s="34"/>
      <c r="AD253" s="34"/>
      <c r="AE253" s="34"/>
      <c r="AF253" s="34"/>
      <c r="AG253" s="34"/>
      <c r="AH253" s="34"/>
      <c r="AI253" s="34"/>
      <c r="AJ253" s="34"/>
      <c r="AK253" s="34"/>
      <c r="AL253" s="34"/>
      <c r="AM253" s="34"/>
      <c r="AN253" s="34"/>
      <c r="AO253" s="34"/>
      <c r="AP253" s="34"/>
    </row>
    <row r="254" spans="1:42">
      <c r="A254" s="3"/>
      <c r="B254" s="3"/>
      <c r="C254" s="3"/>
      <c r="D254" s="3"/>
      <c r="E254" s="3"/>
      <c r="F254" s="3"/>
      <c r="G254" s="3"/>
      <c r="H254" s="3"/>
      <c r="I254" s="34"/>
      <c r="J254" s="34"/>
      <c r="K254" s="34"/>
      <c r="L254" s="34"/>
      <c r="M254" s="34"/>
      <c r="N254" s="34"/>
      <c r="O254" s="34"/>
      <c r="P254" s="34"/>
      <c r="Q254" s="34"/>
      <c r="R254" s="34"/>
      <c r="S254" s="34"/>
      <c r="T254" s="34"/>
      <c r="U254" s="34"/>
      <c r="V254" s="34"/>
      <c r="W254" s="34"/>
      <c r="X254" s="34"/>
      <c r="Y254" s="34"/>
      <c r="Z254" s="34"/>
      <c r="AA254" s="34"/>
      <c r="AB254" s="34"/>
      <c r="AC254" s="34"/>
      <c r="AD254" s="34"/>
      <c r="AE254" s="34"/>
      <c r="AF254" s="34"/>
      <c r="AG254" s="34"/>
      <c r="AH254" s="34"/>
      <c r="AI254" s="34"/>
      <c r="AJ254" s="34"/>
      <c r="AK254" s="34"/>
      <c r="AL254" s="34"/>
      <c r="AM254" s="34"/>
      <c r="AN254" s="34"/>
      <c r="AO254" s="34"/>
      <c r="AP254" s="34"/>
    </row>
    <row r="255" spans="1:42">
      <c r="A255" s="3"/>
      <c r="B255" s="3"/>
      <c r="C255" s="3"/>
      <c r="D255" s="3"/>
      <c r="E255" s="3"/>
      <c r="F255" s="3"/>
      <c r="G255" s="3"/>
      <c r="H255" s="3"/>
      <c r="I255" s="34"/>
      <c r="J255" s="34"/>
      <c r="K255" s="34"/>
      <c r="L255" s="34"/>
      <c r="M255" s="34"/>
      <c r="N255" s="34"/>
      <c r="O255" s="34"/>
      <c r="P255" s="34"/>
      <c r="Q255" s="34"/>
      <c r="R255" s="34"/>
      <c r="S255" s="34"/>
      <c r="T255" s="34"/>
      <c r="U255" s="34"/>
      <c r="V255" s="34"/>
      <c r="W255" s="34"/>
      <c r="X255" s="34"/>
      <c r="Y255" s="34"/>
      <c r="Z255" s="34"/>
      <c r="AA255" s="34"/>
      <c r="AB255" s="34"/>
      <c r="AC255" s="34"/>
      <c r="AD255" s="34"/>
      <c r="AE255" s="34"/>
      <c r="AF255" s="34"/>
      <c r="AG255" s="34"/>
      <c r="AH255" s="34"/>
      <c r="AI255" s="34"/>
      <c r="AJ255" s="34"/>
      <c r="AK255" s="34"/>
      <c r="AL255" s="34"/>
      <c r="AM255" s="34"/>
      <c r="AN255" s="34"/>
      <c r="AO255" s="34"/>
      <c r="AP255" s="34"/>
    </row>
    <row r="256" spans="1:42">
      <c r="A256" s="3"/>
      <c r="B256" s="3"/>
      <c r="C256" s="3"/>
      <c r="D256" s="3"/>
      <c r="E256" s="3"/>
      <c r="F256" s="3"/>
      <c r="G256" s="3"/>
      <c r="H256" s="3"/>
      <c r="I256" s="34"/>
      <c r="J256" s="34"/>
      <c r="K256" s="34"/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4"/>
      <c r="Y256" s="34"/>
      <c r="Z256" s="34"/>
      <c r="AA256" s="34"/>
      <c r="AB256" s="34"/>
      <c r="AC256" s="34"/>
      <c r="AD256" s="34"/>
      <c r="AE256" s="34"/>
      <c r="AF256" s="34"/>
      <c r="AG256" s="34"/>
      <c r="AH256" s="34"/>
      <c r="AI256" s="34"/>
      <c r="AJ256" s="34"/>
      <c r="AK256" s="34"/>
      <c r="AL256" s="34"/>
      <c r="AM256" s="34"/>
      <c r="AN256" s="34"/>
      <c r="AO256" s="34"/>
      <c r="AP256" s="34"/>
    </row>
    <row r="257" spans="1:42">
      <c r="A257" s="3"/>
      <c r="B257" s="3"/>
      <c r="C257" s="3"/>
      <c r="D257" s="3"/>
      <c r="E257" s="3"/>
      <c r="F257" s="3"/>
      <c r="G257" s="3"/>
      <c r="H257" s="3"/>
      <c r="I257" s="34"/>
      <c r="J257" s="34"/>
      <c r="K257" s="34"/>
      <c r="L257" s="34"/>
      <c r="M257" s="34"/>
      <c r="N257" s="34"/>
      <c r="O257" s="34"/>
      <c r="P257" s="34"/>
      <c r="Q257" s="34"/>
      <c r="R257" s="34"/>
      <c r="S257" s="34"/>
      <c r="T257" s="34"/>
      <c r="U257" s="34"/>
      <c r="V257" s="34"/>
      <c r="W257" s="34"/>
      <c r="X257" s="34"/>
      <c r="Y257" s="34"/>
      <c r="Z257" s="34"/>
      <c r="AA257" s="34"/>
      <c r="AB257" s="34"/>
      <c r="AC257" s="34"/>
      <c r="AD257" s="34"/>
      <c r="AE257" s="34"/>
      <c r="AF257" s="34"/>
      <c r="AG257" s="34"/>
      <c r="AH257" s="34"/>
      <c r="AI257" s="34"/>
      <c r="AJ257" s="34"/>
      <c r="AK257" s="34"/>
      <c r="AL257" s="34"/>
      <c r="AM257" s="34"/>
      <c r="AN257" s="34"/>
      <c r="AO257" s="34"/>
      <c r="AP257" s="34"/>
    </row>
    <row r="258" spans="1:42">
      <c r="A258" s="3"/>
      <c r="B258" s="3"/>
      <c r="C258" s="3"/>
      <c r="D258" s="3"/>
      <c r="E258" s="3"/>
      <c r="F258" s="3"/>
      <c r="G258" s="3"/>
      <c r="H258" s="3"/>
      <c r="I258" s="34"/>
      <c r="J258" s="34"/>
      <c r="K258" s="34"/>
      <c r="L258" s="34"/>
      <c r="M258" s="34"/>
      <c r="N258" s="34"/>
      <c r="O258" s="34"/>
      <c r="P258" s="34"/>
      <c r="Q258" s="34"/>
      <c r="R258" s="34"/>
      <c r="S258" s="34"/>
      <c r="T258" s="34"/>
      <c r="U258" s="34"/>
      <c r="V258" s="34"/>
      <c r="W258" s="34"/>
      <c r="X258" s="34"/>
      <c r="Y258" s="34"/>
      <c r="Z258" s="34"/>
      <c r="AA258" s="34"/>
      <c r="AB258" s="34"/>
      <c r="AC258" s="34"/>
      <c r="AD258" s="34"/>
      <c r="AE258" s="34"/>
      <c r="AF258" s="34"/>
      <c r="AG258" s="34"/>
      <c r="AH258" s="34"/>
      <c r="AI258" s="34"/>
      <c r="AJ258" s="34"/>
      <c r="AK258" s="34"/>
      <c r="AL258" s="34"/>
      <c r="AM258" s="34"/>
      <c r="AN258" s="34"/>
      <c r="AO258" s="34"/>
      <c r="AP258" s="34"/>
    </row>
    <row r="259" spans="1:42">
      <c r="A259" s="3"/>
      <c r="B259" s="3"/>
      <c r="C259" s="3"/>
      <c r="D259" s="3"/>
      <c r="E259" s="3"/>
      <c r="F259" s="3"/>
      <c r="G259" s="3"/>
      <c r="H259" s="3"/>
      <c r="I259" s="34"/>
      <c r="J259" s="34"/>
      <c r="K259" s="34"/>
      <c r="L259" s="34"/>
      <c r="M259" s="34"/>
      <c r="N259" s="34"/>
      <c r="O259" s="34"/>
      <c r="P259" s="34"/>
      <c r="Q259" s="34"/>
      <c r="R259" s="34"/>
      <c r="S259" s="34"/>
      <c r="T259" s="34"/>
      <c r="U259" s="34"/>
      <c r="V259" s="34"/>
      <c r="W259" s="34"/>
      <c r="X259" s="34"/>
      <c r="Y259" s="34"/>
      <c r="Z259" s="34"/>
      <c r="AA259" s="34"/>
      <c r="AB259" s="34"/>
      <c r="AC259" s="34"/>
      <c r="AD259" s="34"/>
      <c r="AE259" s="34"/>
      <c r="AF259" s="34"/>
      <c r="AG259" s="34"/>
      <c r="AH259" s="34"/>
      <c r="AI259" s="34"/>
      <c r="AJ259" s="34"/>
      <c r="AK259" s="34"/>
      <c r="AL259" s="34"/>
      <c r="AM259" s="34"/>
      <c r="AN259" s="34"/>
      <c r="AO259" s="34"/>
      <c r="AP259" s="34"/>
    </row>
    <row r="260" spans="1:42">
      <c r="A260" s="3"/>
      <c r="B260" s="3"/>
      <c r="C260" s="3"/>
      <c r="D260" s="3"/>
      <c r="E260" s="3"/>
      <c r="F260" s="3"/>
      <c r="G260" s="3"/>
      <c r="H260" s="3"/>
      <c r="I260" s="34"/>
      <c r="J260" s="34"/>
      <c r="K260" s="34"/>
      <c r="L260" s="34"/>
      <c r="M260" s="34"/>
      <c r="N260" s="34"/>
      <c r="O260" s="34"/>
      <c r="P260" s="34"/>
      <c r="Q260" s="34"/>
      <c r="R260" s="34"/>
      <c r="S260" s="34"/>
      <c r="T260" s="34"/>
      <c r="U260" s="34"/>
      <c r="V260" s="34"/>
      <c r="W260" s="34"/>
      <c r="X260" s="34"/>
      <c r="Y260" s="34"/>
      <c r="Z260" s="34"/>
      <c r="AA260" s="34"/>
      <c r="AB260" s="34"/>
      <c r="AC260" s="34"/>
      <c r="AD260" s="34"/>
      <c r="AE260" s="34"/>
      <c r="AF260" s="34"/>
      <c r="AG260" s="34"/>
      <c r="AH260" s="34"/>
      <c r="AI260" s="34"/>
      <c r="AJ260" s="34"/>
      <c r="AK260" s="34"/>
      <c r="AL260" s="34"/>
      <c r="AM260" s="34"/>
      <c r="AN260" s="34"/>
      <c r="AO260" s="34"/>
      <c r="AP260" s="34"/>
    </row>
    <row r="261" spans="1:42">
      <c r="A261" s="3"/>
      <c r="B261" s="3"/>
      <c r="C261" s="3"/>
      <c r="D261" s="3"/>
      <c r="E261" s="3"/>
      <c r="F261" s="3"/>
      <c r="G261" s="3"/>
      <c r="H261" s="3"/>
      <c r="I261" s="34"/>
      <c r="J261" s="34"/>
      <c r="K261" s="34"/>
      <c r="L261" s="34"/>
      <c r="M261" s="34"/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34"/>
      <c r="Y261" s="34"/>
      <c r="Z261" s="34"/>
      <c r="AA261" s="34"/>
      <c r="AB261" s="34"/>
      <c r="AC261" s="34"/>
      <c r="AD261" s="34"/>
      <c r="AE261" s="34"/>
      <c r="AF261" s="34"/>
      <c r="AG261" s="34"/>
      <c r="AH261" s="34"/>
      <c r="AI261" s="34"/>
      <c r="AJ261" s="34"/>
      <c r="AK261" s="34"/>
      <c r="AL261" s="34"/>
      <c r="AM261" s="34"/>
      <c r="AN261" s="34"/>
      <c r="AO261" s="34"/>
      <c r="AP261" s="34"/>
    </row>
    <row r="262" spans="1:42">
      <c r="A262" s="3"/>
      <c r="B262" s="3"/>
      <c r="C262" s="3"/>
      <c r="D262" s="3"/>
      <c r="E262" s="3"/>
      <c r="F262" s="3"/>
      <c r="G262" s="3"/>
      <c r="H262" s="3"/>
      <c r="I262" s="34"/>
      <c r="J262" s="34"/>
      <c r="K262" s="34"/>
      <c r="L262" s="34"/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4"/>
      <c r="Y262" s="34"/>
      <c r="Z262" s="34"/>
      <c r="AA262" s="34"/>
      <c r="AB262" s="34"/>
      <c r="AC262" s="34"/>
      <c r="AD262" s="34"/>
      <c r="AE262" s="34"/>
      <c r="AF262" s="34"/>
      <c r="AG262" s="34"/>
      <c r="AH262" s="34"/>
      <c r="AI262" s="34"/>
      <c r="AJ262" s="34"/>
      <c r="AK262" s="34"/>
      <c r="AL262" s="34"/>
      <c r="AM262" s="34"/>
      <c r="AN262" s="34"/>
      <c r="AO262" s="34"/>
      <c r="AP262" s="34"/>
    </row>
    <row r="263" spans="1:42">
      <c r="A263" s="3"/>
      <c r="B263" s="3"/>
      <c r="C263" s="3"/>
      <c r="D263" s="3"/>
      <c r="E263" s="3"/>
      <c r="F263" s="3"/>
      <c r="G263" s="3"/>
      <c r="H263" s="3"/>
      <c r="I263" s="34"/>
      <c r="J263" s="34"/>
      <c r="K263" s="34"/>
      <c r="L263" s="34"/>
      <c r="M263" s="34"/>
      <c r="N263" s="34"/>
      <c r="O263" s="34"/>
      <c r="P263" s="34"/>
      <c r="Q263" s="34"/>
      <c r="R263" s="34"/>
      <c r="S263" s="34"/>
      <c r="T263" s="34"/>
      <c r="U263" s="34"/>
      <c r="V263" s="34"/>
      <c r="W263" s="34"/>
      <c r="X263" s="34"/>
      <c r="Y263" s="34"/>
      <c r="Z263" s="34"/>
      <c r="AA263" s="34"/>
      <c r="AB263" s="34"/>
      <c r="AC263" s="34"/>
      <c r="AD263" s="34"/>
      <c r="AE263" s="34"/>
      <c r="AF263" s="34"/>
      <c r="AG263" s="34"/>
      <c r="AH263" s="34"/>
      <c r="AI263" s="34"/>
      <c r="AJ263" s="34"/>
      <c r="AK263" s="34"/>
      <c r="AL263" s="34"/>
      <c r="AM263" s="34"/>
      <c r="AN263" s="34"/>
      <c r="AO263" s="34"/>
      <c r="AP263" s="34"/>
    </row>
    <row r="264" spans="1:42">
      <c r="A264" s="3"/>
      <c r="B264" s="3"/>
      <c r="C264" s="3"/>
      <c r="D264" s="3"/>
      <c r="E264" s="3"/>
      <c r="F264" s="3"/>
      <c r="G264" s="3"/>
      <c r="H264" s="3"/>
      <c r="I264" s="34"/>
      <c r="J264" s="34"/>
      <c r="K264" s="34"/>
      <c r="L264" s="34"/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34"/>
      <c r="Y264" s="34"/>
      <c r="Z264" s="34"/>
      <c r="AA264" s="34"/>
      <c r="AB264" s="34"/>
      <c r="AC264" s="34"/>
      <c r="AD264" s="34"/>
      <c r="AE264" s="34"/>
      <c r="AF264" s="34"/>
      <c r="AG264" s="34"/>
      <c r="AH264" s="34"/>
      <c r="AI264" s="34"/>
      <c r="AJ264" s="34"/>
      <c r="AK264" s="34"/>
      <c r="AL264" s="34"/>
      <c r="AM264" s="34"/>
      <c r="AN264" s="34"/>
      <c r="AO264" s="34"/>
      <c r="AP264" s="34"/>
    </row>
    <row r="265" spans="1:42">
      <c r="A265" s="3"/>
      <c r="B265" s="3"/>
      <c r="C265" s="3"/>
      <c r="D265" s="3"/>
      <c r="E265" s="3"/>
      <c r="F265" s="3"/>
      <c r="G265" s="3"/>
      <c r="H265" s="3"/>
      <c r="I265" s="34"/>
      <c r="J265" s="34"/>
      <c r="K265" s="34"/>
      <c r="L265" s="34"/>
      <c r="M265" s="34"/>
      <c r="N265" s="34"/>
      <c r="O265" s="34"/>
      <c r="P265" s="34"/>
      <c r="Q265" s="34"/>
      <c r="R265" s="34"/>
      <c r="S265" s="34"/>
      <c r="T265" s="34"/>
      <c r="U265" s="34"/>
      <c r="V265" s="34"/>
      <c r="W265" s="34"/>
      <c r="X265" s="34"/>
      <c r="Y265" s="34"/>
      <c r="Z265" s="34"/>
      <c r="AA265" s="34"/>
      <c r="AB265" s="34"/>
      <c r="AC265" s="34"/>
      <c r="AD265" s="34"/>
      <c r="AE265" s="34"/>
      <c r="AF265" s="34"/>
      <c r="AG265" s="34"/>
      <c r="AH265" s="34"/>
      <c r="AI265" s="34"/>
      <c r="AJ265" s="34"/>
      <c r="AK265" s="34"/>
      <c r="AL265" s="34"/>
      <c r="AM265" s="34"/>
      <c r="AN265" s="34"/>
      <c r="AO265" s="34"/>
      <c r="AP265" s="34"/>
    </row>
    <row r="266" spans="1:42">
      <c r="A266" s="3"/>
      <c r="B266" s="3"/>
      <c r="C266" s="3"/>
      <c r="D266" s="3"/>
      <c r="E266" s="3"/>
      <c r="F266" s="3"/>
      <c r="G266" s="3"/>
      <c r="H266" s="3"/>
      <c r="I266" s="34"/>
      <c r="J266" s="34"/>
      <c r="K266" s="34"/>
      <c r="L266" s="34"/>
      <c r="M266" s="34"/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34"/>
      <c r="Y266" s="34"/>
      <c r="Z266" s="34"/>
      <c r="AA266" s="34"/>
      <c r="AB266" s="34"/>
      <c r="AC266" s="34"/>
      <c r="AD266" s="34"/>
      <c r="AE266" s="34"/>
      <c r="AF266" s="34"/>
      <c r="AG266" s="34"/>
      <c r="AH266" s="34"/>
      <c r="AI266" s="34"/>
      <c r="AJ266" s="34"/>
      <c r="AK266" s="34"/>
      <c r="AL266" s="34"/>
      <c r="AM266" s="34"/>
      <c r="AN266" s="34"/>
      <c r="AO266" s="34"/>
      <c r="AP266" s="34"/>
    </row>
    <row r="267" spans="1:42">
      <c r="A267" s="3"/>
      <c r="B267" s="3"/>
      <c r="C267" s="3"/>
      <c r="D267" s="3"/>
      <c r="E267" s="3"/>
      <c r="F267" s="3"/>
      <c r="G267" s="3"/>
      <c r="H267" s="3"/>
      <c r="I267" s="34"/>
      <c r="J267" s="34"/>
      <c r="K267" s="34"/>
      <c r="L267" s="34"/>
      <c r="M267" s="34"/>
      <c r="N267" s="34"/>
      <c r="O267" s="34"/>
      <c r="P267" s="34"/>
      <c r="Q267" s="34"/>
      <c r="R267" s="34"/>
      <c r="S267" s="34"/>
      <c r="T267" s="34"/>
      <c r="U267" s="34"/>
      <c r="V267" s="34"/>
      <c r="W267" s="34"/>
      <c r="X267" s="34"/>
      <c r="Y267" s="34"/>
      <c r="Z267" s="34"/>
      <c r="AA267" s="34"/>
      <c r="AB267" s="34"/>
      <c r="AC267" s="34"/>
      <c r="AD267" s="34"/>
      <c r="AE267" s="34"/>
      <c r="AF267" s="34"/>
      <c r="AG267" s="34"/>
      <c r="AH267" s="34"/>
      <c r="AI267" s="34"/>
      <c r="AJ267" s="34"/>
      <c r="AK267" s="34"/>
      <c r="AL267" s="34"/>
      <c r="AM267" s="34"/>
      <c r="AN267" s="34"/>
      <c r="AO267" s="34"/>
      <c r="AP267" s="34"/>
    </row>
    <row r="268" spans="1:42">
      <c r="A268" s="3"/>
      <c r="B268" s="3"/>
      <c r="C268" s="3"/>
      <c r="D268" s="3"/>
      <c r="E268" s="3"/>
      <c r="F268" s="3"/>
      <c r="G268" s="3"/>
      <c r="H268" s="3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4"/>
      <c r="Y268" s="34"/>
      <c r="Z268" s="34"/>
      <c r="AA268" s="34"/>
      <c r="AB268" s="34"/>
      <c r="AC268" s="34"/>
      <c r="AD268" s="34"/>
      <c r="AE268" s="34"/>
      <c r="AF268" s="34"/>
      <c r="AG268" s="34"/>
      <c r="AH268" s="34"/>
      <c r="AI268" s="34"/>
      <c r="AJ268" s="34"/>
      <c r="AK268" s="34"/>
      <c r="AL268" s="34"/>
      <c r="AM268" s="34"/>
      <c r="AN268" s="34"/>
      <c r="AO268" s="34"/>
      <c r="AP268" s="34"/>
    </row>
    <row r="269" spans="1:42">
      <c r="A269" s="3"/>
      <c r="B269" s="3"/>
      <c r="C269" s="3"/>
      <c r="D269" s="3"/>
      <c r="E269" s="3"/>
      <c r="F269" s="3"/>
      <c r="G269" s="3"/>
      <c r="H269" s="3"/>
      <c r="I269" s="34"/>
      <c r="J269" s="34"/>
      <c r="K269" s="34"/>
      <c r="L269" s="34"/>
      <c r="M269" s="34"/>
      <c r="N269" s="34"/>
      <c r="O269" s="34"/>
      <c r="P269" s="34"/>
      <c r="Q269" s="34"/>
      <c r="R269" s="34"/>
      <c r="S269" s="34"/>
      <c r="T269" s="34"/>
      <c r="U269" s="34"/>
      <c r="V269" s="34"/>
      <c r="W269" s="34"/>
      <c r="X269" s="34"/>
      <c r="Y269" s="34"/>
      <c r="Z269" s="34"/>
      <c r="AA269" s="34"/>
      <c r="AB269" s="34"/>
      <c r="AC269" s="34"/>
      <c r="AD269" s="34"/>
      <c r="AE269" s="34"/>
      <c r="AF269" s="34"/>
      <c r="AG269" s="34"/>
      <c r="AH269" s="34"/>
      <c r="AI269" s="34"/>
      <c r="AJ269" s="34"/>
      <c r="AK269" s="34"/>
      <c r="AL269" s="34"/>
      <c r="AM269" s="34"/>
      <c r="AN269" s="34"/>
      <c r="AO269" s="34"/>
      <c r="AP269" s="34"/>
    </row>
    <row r="270" spans="1:42">
      <c r="A270" s="3"/>
      <c r="B270" s="3"/>
      <c r="C270" s="3"/>
      <c r="D270" s="3"/>
      <c r="E270" s="3"/>
      <c r="F270" s="3"/>
      <c r="G270" s="3"/>
      <c r="H270" s="3"/>
      <c r="I270" s="34"/>
      <c r="J270" s="34"/>
      <c r="K270" s="34"/>
      <c r="L270" s="34"/>
      <c r="M270" s="34"/>
      <c r="N270" s="34"/>
      <c r="O270" s="34"/>
      <c r="P270" s="34"/>
      <c r="Q270" s="34"/>
      <c r="R270" s="34"/>
      <c r="S270" s="34"/>
      <c r="T270" s="34"/>
      <c r="U270" s="34"/>
      <c r="V270" s="34"/>
      <c r="W270" s="34"/>
      <c r="X270" s="34"/>
      <c r="Y270" s="34"/>
      <c r="Z270" s="34"/>
      <c r="AA270" s="34"/>
      <c r="AB270" s="34"/>
      <c r="AC270" s="34"/>
      <c r="AD270" s="34"/>
      <c r="AE270" s="34"/>
      <c r="AF270" s="34"/>
      <c r="AG270" s="34"/>
      <c r="AH270" s="34"/>
      <c r="AI270" s="34"/>
      <c r="AJ270" s="34"/>
      <c r="AK270" s="34"/>
      <c r="AL270" s="34"/>
      <c r="AM270" s="34"/>
      <c r="AN270" s="34"/>
      <c r="AO270" s="34"/>
      <c r="AP270" s="34"/>
    </row>
    <row r="271" spans="1:42">
      <c r="A271" s="3"/>
      <c r="B271" s="3"/>
      <c r="C271" s="3"/>
      <c r="D271" s="3"/>
      <c r="E271" s="3"/>
      <c r="F271" s="3"/>
      <c r="G271" s="3"/>
      <c r="H271" s="3"/>
      <c r="I271" s="34"/>
      <c r="J271" s="34"/>
      <c r="K271" s="34"/>
      <c r="L271" s="34"/>
      <c r="M271" s="34"/>
      <c r="N271" s="34"/>
      <c r="O271" s="34"/>
      <c r="P271" s="34"/>
      <c r="Q271" s="34"/>
      <c r="R271" s="34"/>
      <c r="S271" s="34"/>
      <c r="T271" s="34"/>
      <c r="U271" s="34"/>
      <c r="V271" s="34"/>
      <c r="W271" s="34"/>
      <c r="X271" s="34"/>
      <c r="Y271" s="34"/>
      <c r="Z271" s="34"/>
      <c r="AA271" s="34"/>
      <c r="AB271" s="34"/>
      <c r="AC271" s="34"/>
      <c r="AD271" s="34"/>
      <c r="AE271" s="34"/>
      <c r="AF271" s="34"/>
      <c r="AG271" s="34"/>
      <c r="AH271" s="34"/>
      <c r="AI271" s="34"/>
      <c r="AJ271" s="34"/>
      <c r="AK271" s="34"/>
      <c r="AL271" s="34"/>
      <c r="AM271" s="34"/>
      <c r="AN271" s="34"/>
      <c r="AO271" s="34"/>
      <c r="AP271" s="34"/>
    </row>
    <row r="272" spans="1:42">
      <c r="A272" s="3"/>
      <c r="B272" s="3"/>
      <c r="C272" s="3"/>
      <c r="D272" s="3"/>
      <c r="E272" s="3"/>
      <c r="F272" s="3"/>
      <c r="G272" s="3"/>
      <c r="H272" s="3"/>
      <c r="I272" s="34"/>
      <c r="J272" s="34"/>
      <c r="K272" s="34"/>
      <c r="L272" s="34"/>
      <c r="M272" s="34"/>
      <c r="N272" s="34"/>
      <c r="O272" s="34"/>
      <c r="P272" s="34"/>
      <c r="Q272" s="34"/>
      <c r="R272" s="34"/>
      <c r="S272" s="34"/>
      <c r="T272" s="34"/>
      <c r="U272" s="34"/>
      <c r="V272" s="34"/>
      <c r="W272" s="34"/>
      <c r="X272" s="34"/>
      <c r="Y272" s="34"/>
      <c r="Z272" s="34"/>
      <c r="AA272" s="34"/>
      <c r="AB272" s="34"/>
      <c r="AC272" s="34"/>
      <c r="AD272" s="34"/>
      <c r="AE272" s="34"/>
      <c r="AF272" s="34"/>
      <c r="AG272" s="34"/>
      <c r="AH272" s="34"/>
      <c r="AI272" s="34"/>
      <c r="AJ272" s="34"/>
      <c r="AK272" s="34"/>
      <c r="AL272" s="34"/>
      <c r="AM272" s="34"/>
      <c r="AN272" s="34"/>
      <c r="AO272" s="34"/>
      <c r="AP272" s="34"/>
    </row>
    <row r="273" spans="1:42">
      <c r="A273" s="3"/>
      <c r="B273" s="3"/>
      <c r="C273" s="3"/>
      <c r="D273" s="3"/>
      <c r="E273" s="3"/>
      <c r="F273" s="3"/>
      <c r="G273" s="3"/>
      <c r="H273" s="3"/>
      <c r="I273" s="34"/>
      <c r="J273" s="34"/>
      <c r="K273" s="34"/>
      <c r="L273" s="34"/>
      <c r="M273" s="34"/>
      <c r="N273" s="34"/>
      <c r="O273" s="34"/>
      <c r="P273" s="34"/>
      <c r="Q273" s="34"/>
      <c r="R273" s="34"/>
      <c r="S273" s="34"/>
      <c r="T273" s="34"/>
      <c r="U273" s="34"/>
      <c r="V273" s="34"/>
      <c r="W273" s="34"/>
      <c r="X273" s="34"/>
      <c r="Y273" s="34"/>
      <c r="Z273" s="34"/>
      <c r="AA273" s="34"/>
      <c r="AB273" s="34"/>
      <c r="AC273" s="34"/>
      <c r="AD273" s="34"/>
      <c r="AE273" s="34"/>
      <c r="AF273" s="34"/>
      <c r="AG273" s="34"/>
      <c r="AH273" s="34"/>
      <c r="AI273" s="34"/>
      <c r="AJ273" s="34"/>
      <c r="AK273" s="34"/>
      <c r="AL273" s="34"/>
      <c r="AM273" s="34"/>
      <c r="AN273" s="34"/>
      <c r="AO273" s="34"/>
      <c r="AP273" s="34"/>
    </row>
    <row r="274" spans="1:42">
      <c r="A274" s="3"/>
      <c r="B274" s="3"/>
      <c r="C274" s="3"/>
      <c r="D274" s="3"/>
      <c r="E274" s="3"/>
      <c r="F274" s="3"/>
      <c r="G274" s="3"/>
      <c r="H274" s="3"/>
      <c r="I274" s="34"/>
      <c r="J274" s="34"/>
      <c r="K274" s="34"/>
      <c r="L274" s="34"/>
      <c r="M274" s="34"/>
      <c r="N274" s="34"/>
      <c r="O274" s="34"/>
      <c r="P274" s="34"/>
      <c r="Q274" s="34"/>
      <c r="R274" s="34"/>
      <c r="S274" s="34"/>
      <c r="T274" s="34"/>
      <c r="U274" s="34"/>
      <c r="V274" s="34"/>
      <c r="W274" s="34"/>
      <c r="X274" s="34"/>
      <c r="Y274" s="34"/>
      <c r="Z274" s="34"/>
      <c r="AA274" s="34"/>
      <c r="AB274" s="34"/>
      <c r="AC274" s="34"/>
      <c r="AD274" s="34"/>
      <c r="AE274" s="34"/>
      <c r="AF274" s="34"/>
      <c r="AG274" s="34"/>
      <c r="AH274" s="34"/>
      <c r="AI274" s="34"/>
      <c r="AJ274" s="34"/>
      <c r="AK274" s="34"/>
      <c r="AL274" s="34"/>
      <c r="AM274" s="34"/>
      <c r="AN274" s="34"/>
      <c r="AO274" s="34"/>
      <c r="AP274" s="34"/>
    </row>
    <row r="275" spans="1:42">
      <c r="A275" s="3"/>
      <c r="B275" s="3"/>
      <c r="C275" s="3"/>
      <c r="D275" s="3"/>
      <c r="E275" s="3"/>
      <c r="F275" s="3"/>
      <c r="G275" s="3"/>
      <c r="H275" s="3"/>
      <c r="I275" s="34"/>
      <c r="J275" s="34"/>
      <c r="K275" s="34"/>
      <c r="L275" s="34"/>
      <c r="M275" s="34"/>
      <c r="N275" s="34"/>
      <c r="O275" s="34"/>
      <c r="P275" s="34"/>
      <c r="Q275" s="34"/>
      <c r="R275" s="34"/>
      <c r="S275" s="34"/>
      <c r="T275" s="34"/>
      <c r="U275" s="34"/>
      <c r="V275" s="34"/>
      <c r="W275" s="34"/>
      <c r="X275" s="34"/>
      <c r="Y275" s="34"/>
      <c r="Z275" s="34"/>
      <c r="AA275" s="34"/>
      <c r="AB275" s="34"/>
      <c r="AC275" s="34"/>
      <c r="AD275" s="34"/>
      <c r="AE275" s="34"/>
      <c r="AF275" s="34"/>
      <c r="AG275" s="34"/>
      <c r="AH275" s="34"/>
      <c r="AI275" s="34"/>
      <c r="AJ275" s="34"/>
      <c r="AK275" s="34"/>
      <c r="AL275" s="34"/>
      <c r="AM275" s="34"/>
      <c r="AN275" s="34"/>
      <c r="AO275" s="34"/>
      <c r="AP275" s="34"/>
    </row>
    <row r="276" spans="1:42">
      <c r="A276" s="3"/>
      <c r="B276" s="3"/>
      <c r="C276" s="3"/>
      <c r="D276" s="3"/>
      <c r="E276" s="3"/>
      <c r="F276" s="3"/>
      <c r="G276" s="3"/>
      <c r="H276" s="3"/>
      <c r="I276" s="34"/>
      <c r="J276" s="34"/>
      <c r="K276" s="34"/>
      <c r="L276" s="34"/>
      <c r="M276" s="34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34"/>
      <c r="Y276" s="34"/>
      <c r="Z276" s="34"/>
      <c r="AA276" s="34"/>
      <c r="AB276" s="34"/>
      <c r="AC276" s="34"/>
      <c r="AD276" s="34"/>
      <c r="AE276" s="34"/>
      <c r="AF276" s="34"/>
      <c r="AG276" s="34"/>
      <c r="AH276" s="34"/>
      <c r="AI276" s="34"/>
      <c r="AJ276" s="34"/>
      <c r="AK276" s="34"/>
      <c r="AL276" s="34"/>
      <c r="AM276" s="34"/>
      <c r="AN276" s="34"/>
      <c r="AO276" s="34"/>
      <c r="AP276" s="34"/>
    </row>
    <row r="277" spans="1:42">
      <c r="A277" s="3"/>
      <c r="B277" s="3"/>
      <c r="C277" s="3"/>
      <c r="D277" s="3"/>
      <c r="E277" s="3"/>
      <c r="F277" s="3"/>
      <c r="G277" s="3"/>
      <c r="H277" s="3"/>
      <c r="I277" s="34"/>
      <c r="J277" s="34"/>
      <c r="K277" s="34"/>
      <c r="L277" s="34"/>
      <c r="M277" s="34"/>
      <c r="N277" s="34"/>
      <c r="O277" s="34"/>
      <c r="P277" s="34"/>
      <c r="Q277" s="34"/>
      <c r="R277" s="34"/>
      <c r="S277" s="34"/>
      <c r="T277" s="34"/>
      <c r="U277" s="34"/>
      <c r="V277" s="34"/>
      <c r="W277" s="34"/>
      <c r="X277" s="34"/>
      <c r="Y277" s="34"/>
      <c r="Z277" s="34"/>
      <c r="AA277" s="34"/>
      <c r="AB277" s="34"/>
      <c r="AC277" s="34"/>
      <c r="AD277" s="34"/>
      <c r="AE277" s="34"/>
      <c r="AF277" s="34"/>
      <c r="AG277" s="34"/>
      <c r="AH277" s="34"/>
      <c r="AI277" s="34"/>
      <c r="AJ277" s="34"/>
      <c r="AK277" s="34"/>
      <c r="AL277" s="34"/>
      <c r="AM277" s="34"/>
      <c r="AN277" s="34"/>
      <c r="AO277" s="34"/>
      <c r="AP277" s="34"/>
    </row>
    <row r="278" spans="1:42">
      <c r="A278" s="3"/>
      <c r="B278" s="3"/>
      <c r="C278" s="3"/>
      <c r="D278" s="3"/>
      <c r="E278" s="3"/>
      <c r="F278" s="3"/>
      <c r="G278" s="3"/>
      <c r="H278" s="3"/>
      <c r="I278" s="34"/>
      <c r="J278" s="34"/>
      <c r="K278" s="34"/>
      <c r="L278" s="34"/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4"/>
      <c r="Y278" s="34"/>
      <c r="Z278" s="34"/>
      <c r="AA278" s="34"/>
      <c r="AB278" s="34"/>
      <c r="AC278" s="34"/>
      <c r="AD278" s="34"/>
      <c r="AE278" s="34"/>
      <c r="AF278" s="34"/>
      <c r="AG278" s="34"/>
      <c r="AH278" s="34"/>
      <c r="AI278" s="34"/>
      <c r="AJ278" s="34"/>
      <c r="AK278" s="34"/>
      <c r="AL278" s="34"/>
      <c r="AM278" s="34"/>
      <c r="AN278" s="34"/>
      <c r="AO278" s="34"/>
      <c r="AP278" s="34"/>
    </row>
    <row r="279" spans="1:42">
      <c r="A279" s="3"/>
      <c r="B279" s="3"/>
      <c r="C279" s="3"/>
      <c r="D279" s="3"/>
      <c r="E279" s="3"/>
      <c r="F279" s="3"/>
      <c r="G279" s="3"/>
      <c r="H279" s="3"/>
      <c r="I279" s="34"/>
      <c r="J279" s="34"/>
      <c r="K279" s="34"/>
      <c r="L279" s="34"/>
      <c r="M279" s="34"/>
      <c r="N279" s="34"/>
      <c r="O279" s="34"/>
      <c r="P279" s="34"/>
      <c r="Q279" s="34"/>
      <c r="R279" s="34"/>
      <c r="S279" s="34"/>
      <c r="T279" s="34"/>
      <c r="U279" s="34"/>
      <c r="V279" s="34"/>
      <c r="W279" s="34"/>
      <c r="X279" s="34"/>
      <c r="Y279" s="34"/>
      <c r="Z279" s="34"/>
      <c r="AA279" s="34"/>
      <c r="AB279" s="34"/>
      <c r="AC279" s="34"/>
      <c r="AD279" s="34"/>
      <c r="AE279" s="34"/>
      <c r="AF279" s="34"/>
      <c r="AG279" s="34"/>
      <c r="AH279" s="34"/>
      <c r="AI279" s="34"/>
      <c r="AJ279" s="34"/>
      <c r="AK279" s="34"/>
      <c r="AL279" s="34"/>
      <c r="AM279" s="34"/>
      <c r="AN279" s="34"/>
      <c r="AO279" s="34"/>
      <c r="AP279" s="34"/>
    </row>
    <row r="280" spans="1:42">
      <c r="A280" s="3"/>
      <c r="B280" s="3"/>
      <c r="C280" s="3"/>
      <c r="D280" s="3"/>
      <c r="E280" s="3"/>
      <c r="F280" s="3"/>
      <c r="G280" s="3"/>
      <c r="H280" s="3"/>
      <c r="I280" s="34"/>
      <c r="J280" s="34"/>
      <c r="K280" s="34"/>
      <c r="L280" s="34"/>
      <c r="M280" s="34"/>
      <c r="N280" s="34"/>
      <c r="O280" s="34"/>
      <c r="P280" s="34"/>
      <c r="Q280" s="34"/>
      <c r="R280" s="34"/>
      <c r="S280" s="34"/>
      <c r="T280" s="34"/>
      <c r="U280" s="34"/>
      <c r="V280" s="34"/>
      <c r="W280" s="34"/>
      <c r="X280" s="34"/>
      <c r="Y280" s="34"/>
      <c r="Z280" s="34"/>
      <c r="AA280" s="34"/>
      <c r="AB280" s="34"/>
      <c r="AC280" s="34"/>
      <c r="AD280" s="34"/>
      <c r="AE280" s="34"/>
      <c r="AF280" s="34"/>
      <c r="AG280" s="34"/>
      <c r="AH280" s="34"/>
      <c r="AI280" s="34"/>
      <c r="AJ280" s="34"/>
      <c r="AK280" s="34"/>
      <c r="AL280" s="34"/>
      <c r="AM280" s="34"/>
      <c r="AN280" s="34"/>
      <c r="AO280" s="34"/>
      <c r="AP280" s="34"/>
    </row>
    <row r="281" spans="1:42">
      <c r="A281" s="3"/>
      <c r="B281" s="3"/>
      <c r="C281" s="3"/>
      <c r="D281" s="3"/>
      <c r="E281" s="3"/>
      <c r="F281" s="3"/>
      <c r="G281" s="3"/>
      <c r="H281" s="3"/>
      <c r="I281" s="34"/>
      <c r="J281" s="34"/>
      <c r="K281" s="34"/>
      <c r="L281" s="34"/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4"/>
      <c r="Y281" s="34"/>
      <c r="Z281" s="34"/>
      <c r="AA281" s="34"/>
      <c r="AB281" s="34"/>
      <c r="AC281" s="34"/>
      <c r="AD281" s="34"/>
      <c r="AE281" s="34"/>
      <c r="AF281" s="34"/>
      <c r="AG281" s="34"/>
      <c r="AH281" s="34"/>
      <c r="AI281" s="34"/>
      <c r="AJ281" s="34"/>
      <c r="AK281" s="34"/>
      <c r="AL281" s="34"/>
      <c r="AM281" s="34"/>
      <c r="AN281" s="34"/>
      <c r="AO281" s="34"/>
      <c r="AP281" s="34"/>
    </row>
    <row r="282" spans="1:42">
      <c r="A282" s="3"/>
      <c r="B282" s="3"/>
      <c r="C282" s="3"/>
      <c r="D282" s="3"/>
      <c r="E282" s="3"/>
      <c r="F282" s="3"/>
      <c r="G282" s="3"/>
      <c r="H282" s="3"/>
      <c r="I282" s="34"/>
      <c r="J282" s="34"/>
      <c r="K282" s="34"/>
      <c r="L282" s="34"/>
      <c r="M282" s="34"/>
      <c r="N282" s="34"/>
      <c r="O282" s="34"/>
      <c r="P282" s="34"/>
      <c r="Q282" s="34"/>
      <c r="R282" s="34"/>
      <c r="S282" s="34"/>
      <c r="T282" s="34"/>
      <c r="U282" s="34"/>
      <c r="V282" s="34"/>
      <c r="W282" s="34"/>
      <c r="X282" s="34"/>
      <c r="Y282" s="34"/>
      <c r="Z282" s="34"/>
      <c r="AA282" s="34"/>
      <c r="AB282" s="34"/>
      <c r="AC282" s="34"/>
      <c r="AD282" s="34"/>
      <c r="AE282" s="34"/>
      <c r="AF282" s="34"/>
      <c r="AG282" s="34"/>
      <c r="AH282" s="34"/>
      <c r="AI282" s="34"/>
      <c r="AJ282" s="34"/>
      <c r="AK282" s="34"/>
      <c r="AL282" s="34"/>
      <c r="AM282" s="34"/>
      <c r="AN282" s="34"/>
      <c r="AO282" s="34"/>
      <c r="AP282" s="34"/>
    </row>
    <row r="283" spans="1:42">
      <c r="A283" s="3"/>
      <c r="B283" s="3"/>
      <c r="C283" s="3"/>
      <c r="D283" s="3"/>
      <c r="E283" s="3"/>
      <c r="F283" s="3"/>
      <c r="G283" s="3"/>
      <c r="H283" s="3"/>
      <c r="I283" s="34"/>
      <c r="J283" s="34"/>
      <c r="K283" s="34"/>
      <c r="L283" s="34"/>
      <c r="M283" s="34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4"/>
      <c r="Y283" s="34"/>
      <c r="Z283" s="34"/>
      <c r="AA283" s="34"/>
      <c r="AB283" s="34"/>
      <c r="AC283" s="34"/>
      <c r="AD283" s="34"/>
      <c r="AE283" s="34"/>
      <c r="AF283" s="34"/>
      <c r="AG283" s="34"/>
      <c r="AH283" s="34"/>
      <c r="AI283" s="34"/>
      <c r="AJ283" s="34"/>
      <c r="AK283" s="34"/>
      <c r="AL283" s="34"/>
      <c r="AM283" s="34"/>
      <c r="AN283" s="34"/>
      <c r="AO283" s="34"/>
      <c r="AP283" s="34"/>
    </row>
    <row r="284" spans="1:42">
      <c r="A284" s="3"/>
      <c r="B284" s="3"/>
      <c r="C284" s="3"/>
      <c r="D284" s="3"/>
      <c r="E284" s="3"/>
      <c r="F284" s="3"/>
      <c r="G284" s="3"/>
      <c r="H284" s="3"/>
      <c r="I284" s="34"/>
      <c r="J284" s="34"/>
      <c r="K284" s="34"/>
      <c r="L284" s="34"/>
      <c r="M284" s="34"/>
      <c r="N284" s="34"/>
      <c r="O284" s="34"/>
      <c r="P284" s="34"/>
      <c r="Q284" s="34"/>
      <c r="R284" s="34"/>
      <c r="S284" s="34"/>
      <c r="T284" s="34"/>
      <c r="U284" s="34"/>
      <c r="V284" s="34"/>
      <c r="W284" s="34"/>
      <c r="X284" s="34"/>
      <c r="Y284" s="34"/>
      <c r="Z284" s="34"/>
      <c r="AA284" s="34"/>
      <c r="AB284" s="34"/>
      <c r="AC284" s="34"/>
      <c r="AD284" s="34"/>
      <c r="AE284" s="34"/>
      <c r="AF284" s="34"/>
      <c r="AG284" s="34"/>
      <c r="AH284" s="34"/>
      <c r="AI284" s="34"/>
      <c r="AJ284" s="34"/>
      <c r="AK284" s="34"/>
      <c r="AL284" s="34"/>
      <c r="AM284" s="34"/>
      <c r="AN284" s="34"/>
      <c r="AO284" s="34"/>
      <c r="AP284" s="34"/>
    </row>
    <row r="285" spans="1:42">
      <c r="A285" s="3"/>
      <c r="B285" s="3"/>
      <c r="C285" s="3"/>
      <c r="D285" s="3"/>
      <c r="E285" s="3"/>
      <c r="F285" s="3"/>
      <c r="G285" s="3"/>
      <c r="H285" s="3"/>
      <c r="I285" s="34"/>
      <c r="J285" s="34"/>
      <c r="K285" s="34"/>
      <c r="L285" s="34"/>
      <c r="M285" s="34"/>
      <c r="N285" s="34"/>
      <c r="O285" s="34"/>
      <c r="P285" s="34"/>
      <c r="Q285" s="34"/>
      <c r="R285" s="34"/>
      <c r="S285" s="34"/>
      <c r="T285" s="34"/>
      <c r="U285" s="34"/>
      <c r="V285" s="34"/>
      <c r="W285" s="34"/>
      <c r="X285" s="34"/>
      <c r="Y285" s="34"/>
      <c r="Z285" s="34"/>
      <c r="AA285" s="34"/>
      <c r="AB285" s="34"/>
      <c r="AC285" s="34"/>
      <c r="AD285" s="34"/>
      <c r="AE285" s="34"/>
      <c r="AF285" s="34"/>
      <c r="AG285" s="34"/>
      <c r="AH285" s="34"/>
      <c r="AI285" s="34"/>
      <c r="AJ285" s="34"/>
      <c r="AK285" s="34"/>
      <c r="AL285" s="34"/>
      <c r="AM285" s="34"/>
      <c r="AN285" s="34"/>
      <c r="AO285" s="34"/>
      <c r="AP285" s="34"/>
    </row>
    <row r="286" spans="1:42">
      <c r="A286" s="3"/>
      <c r="B286" s="3"/>
      <c r="C286" s="3"/>
      <c r="D286" s="3"/>
      <c r="E286" s="3"/>
      <c r="F286" s="3"/>
      <c r="G286" s="3"/>
      <c r="H286" s="3"/>
      <c r="I286" s="34"/>
      <c r="J286" s="34"/>
      <c r="K286" s="34"/>
      <c r="L286" s="34"/>
      <c r="M286" s="34"/>
      <c r="N286" s="34"/>
      <c r="O286" s="34"/>
      <c r="P286" s="34"/>
      <c r="Q286" s="34"/>
      <c r="R286" s="34"/>
      <c r="S286" s="34"/>
      <c r="T286" s="34"/>
      <c r="U286" s="34"/>
      <c r="V286" s="34"/>
      <c r="W286" s="34"/>
      <c r="X286" s="34"/>
      <c r="Y286" s="34"/>
      <c r="Z286" s="34"/>
      <c r="AA286" s="34"/>
      <c r="AB286" s="34"/>
      <c r="AC286" s="34"/>
      <c r="AD286" s="34"/>
      <c r="AE286" s="34"/>
      <c r="AF286" s="34"/>
      <c r="AG286" s="34"/>
      <c r="AH286" s="34"/>
      <c r="AI286" s="34"/>
      <c r="AJ286" s="34"/>
      <c r="AK286" s="34"/>
      <c r="AL286" s="34"/>
      <c r="AM286" s="34"/>
      <c r="AN286" s="34"/>
      <c r="AO286" s="34"/>
      <c r="AP286" s="34"/>
    </row>
    <row r="287" spans="1:42">
      <c r="A287" s="3"/>
      <c r="B287" s="3"/>
      <c r="C287" s="3"/>
      <c r="D287" s="3"/>
      <c r="E287" s="3"/>
      <c r="F287" s="3"/>
      <c r="G287" s="3"/>
      <c r="H287" s="3"/>
      <c r="I287" s="34"/>
      <c r="J287" s="34"/>
      <c r="K287" s="34"/>
      <c r="L287" s="34"/>
      <c r="M287" s="34"/>
      <c r="N287" s="34"/>
      <c r="O287" s="34"/>
      <c r="P287" s="34"/>
      <c r="Q287" s="34"/>
      <c r="R287" s="34"/>
      <c r="S287" s="34"/>
      <c r="T287" s="34"/>
      <c r="U287" s="34"/>
      <c r="V287" s="34"/>
      <c r="W287" s="34"/>
      <c r="X287" s="34"/>
      <c r="Y287" s="34"/>
      <c r="Z287" s="34"/>
      <c r="AA287" s="34"/>
      <c r="AB287" s="34"/>
      <c r="AC287" s="34"/>
      <c r="AD287" s="34"/>
      <c r="AE287" s="34"/>
      <c r="AF287" s="34"/>
      <c r="AG287" s="34"/>
      <c r="AH287" s="34"/>
      <c r="AI287" s="34"/>
      <c r="AJ287" s="34"/>
      <c r="AK287" s="34"/>
      <c r="AL287" s="34"/>
      <c r="AM287" s="34"/>
      <c r="AN287" s="34"/>
      <c r="AO287" s="34"/>
      <c r="AP287" s="34"/>
    </row>
    <row r="288" spans="1:42">
      <c r="A288" s="3"/>
      <c r="B288" s="3"/>
      <c r="C288" s="3"/>
      <c r="D288" s="3"/>
      <c r="E288" s="3"/>
      <c r="F288" s="3"/>
      <c r="G288" s="3"/>
      <c r="H288" s="3"/>
      <c r="I288" s="34"/>
      <c r="J288" s="34"/>
      <c r="K288" s="34"/>
      <c r="L288" s="34"/>
      <c r="M288" s="34"/>
      <c r="N288" s="34"/>
      <c r="O288" s="34"/>
      <c r="P288" s="34"/>
      <c r="Q288" s="34"/>
      <c r="R288" s="34"/>
      <c r="S288" s="34"/>
      <c r="T288" s="34"/>
      <c r="U288" s="34"/>
      <c r="V288" s="34"/>
      <c r="W288" s="34"/>
      <c r="X288" s="34"/>
      <c r="Y288" s="34"/>
      <c r="Z288" s="34"/>
      <c r="AA288" s="34"/>
      <c r="AB288" s="34"/>
      <c r="AC288" s="34"/>
      <c r="AD288" s="34"/>
      <c r="AE288" s="34"/>
      <c r="AF288" s="34"/>
      <c r="AG288" s="34"/>
      <c r="AH288" s="34"/>
      <c r="AI288" s="34"/>
      <c r="AJ288" s="34"/>
      <c r="AK288" s="34"/>
      <c r="AL288" s="34"/>
      <c r="AM288" s="34"/>
      <c r="AN288" s="34"/>
      <c r="AO288" s="34"/>
      <c r="AP288" s="34"/>
    </row>
    <row r="289" spans="1:42">
      <c r="A289" s="3"/>
      <c r="B289" s="3"/>
      <c r="C289" s="3"/>
      <c r="D289" s="3"/>
      <c r="E289" s="3"/>
      <c r="F289" s="3"/>
      <c r="G289" s="3"/>
      <c r="H289" s="3"/>
      <c r="I289" s="34"/>
      <c r="J289" s="34"/>
      <c r="K289" s="34"/>
      <c r="L289" s="34"/>
      <c r="M289" s="34"/>
      <c r="N289" s="34"/>
      <c r="O289" s="34"/>
      <c r="P289" s="34"/>
      <c r="Q289" s="34"/>
      <c r="R289" s="34"/>
      <c r="S289" s="34"/>
      <c r="T289" s="34"/>
      <c r="U289" s="34"/>
      <c r="V289" s="34"/>
      <c r="W289" s="34"/>
      <c r="X289" s="34"/>
      <c r="Y289" s="34"/>
      <c r="Z289" s="34"/>
      <c r="AA289" s="34"/>
      <c r="AB289" s="34"/>
      <c r="AC289" s="34"/>
      <c r="AD289" s="34"/>
      <c r="AE289" s="34"/>
      <c r="AF289" s="34"/>
      <c r="AG289" s="34"/>
      <c r="AH289" s="34"/>
      <c r="AI289" s="34"/>
      <c r="AJ289" s="34"/>
      <c r="AK289" s="34"/>
      <c r="AL289" s="34"/>
      <c r="AM289" s="34"/>
      <c r="AN289" s="34"/>
      <c r="AO289" s="34"/>
      <c r="AP289" s="34"/>
    </row>
    <row r="290" spans="1:42">
      <c r="A290" s="3"/>
      <c r="B290" s="3"/>
      <c r="C290" s="3"/>
      <c r="D290" s="3"/>
      <c r="E290" s="3"/>
      <c r="F290" s="3"/>
      <c r="G290" s="3"/>
      <c r="H290" s="3"/>
      <c r="I290" s="34"/>
      <c r="J290" s="34"/>
      <c r="K290" s="34"/>
      <c r="L290" s="34"/>
      <c r="M290" s="34"/>
      <c r="N290" s="34"/>
      <c r="O290" s="34"/>
      <c r="P290" s="34"/>
      <c r="Q290" s="34"/>
      <c r="R290" s="34"/>
      <c r="S290" s="34"/>
      <c r="T290" s="34"/>
      <c r="U290" s="34"/>
      <c r="V290" s="34"/>
      <c r="W290" s="34"/>
      <c r="X290" s="34"/>
      <c r="Y290" s="34"/>
      <c r="Z290" s="34"/>
      <c r="AA290" s="34"/>
      <c r="AB290" s="34"/>
      <c r="AC290" s="34"/>
      <c r="AD290" s="34"/>
      <c r="AE290" s="34"/>
      <c r="AF290" s="34"/>
      <c r="AG290" s="34"/>
      <c r="AH290" s="34"/>
      <c r="AI290" s="34"/>
      <c r="AJ290" s="34"/>
      <c r="AK290" s="34"/>
      <c r="AL290" s="34"/>
      <c r="AM290" s="34"/>
      <c r="AN290" s="34"/>
      <c r="AO290" s="34"/>
      <c r="AP290" s="34"/>
    </row>
    <row r="291" spans="1:42">
      <c r="A291" s="3"/>
      <c r="B291" s="3"/>
      <c r="C291" s="3"/>
      <c r="D291" s="3"/>
      <c r="E291" s="3"/>
      <c r="F291" s="3"/>
      <c r="G291" s="3"/>
      <c r="H291" s="3"/>
      <c r="I291" s="34"/>
      <c r="J291" s="34"/>
      <c r="K291" s="34"/>
      <c r="L291" s="34"/>
      <c r="M291" s="34"/>
      <c r="N291" s="34"/>
      <c r="O291" s="34"/>
      <c r="P291" s="34"/>
      <c r="Q291" s="34"/>
      <c r="R291" s="34"/>
      <c r="S291" s="34"/>
      <c r="T291" s="34"/>
      <c r="U291" s="34"/>
      <c r="V291" s="34"/>
      <c r="W291" s="34"/>
      <c r="X291" s="34"/>
      <c r="Y291" s="34"/>
      <c r="Z291" s="34"/>
      <c r="AA291" s="34"/>
      <c r="AB291" s="34"/>
      <c r="AC291" s="34"/>
      <c r="AD291" s="34"/>
      <c r="AE291" s="34"/>
      <c r="AF291" s="34"/>
      <c r="AG291" s="34"/>
      <c r="AH291" s="34"/>
      <c r="AI291" s="34"/>
      <c r="AJ291" s="34"/>
      <c r="AK291" s="34"/>
      <c r="AL291" s="34"/>
      <c r="AM291" s="34"/>
      <c r="AN291" s="34"/>
      <c r="AO291" s="34"/>
      <c r="AP291" s="34"/>
    </row>
    <row r="292" spans="1:42">
      <c r="A292" s="3"/>
      <c r="B292" s="3"/>
      <c r="C292" s="3"/>
      <c r="D292" s="3"/>
      <c r="E292" s="3"/>
      <c r="F292" s="3"/>
      <c r="G292" s="3"/>
      <c r="H292" s="3"/>
      <c r="I292" s="34"/>
      <c r="J292" s="34"/>
      <c r="K292" s="34"/>
      <c r="L292" s="34"/>
      <c r="M292" s="34"/>
      <c r="N292" s="34"/>
      <c r="O292" s="34"/>
      <c r="P292" s="34"/>
      <c r="Q292" s="34"/>
      <c r="R292" s="34"/>
      <c r="S292" s="34"/>
      <c r="T292" s="34"/>
      <c r="U292" s="34"/>
      <c r="V292" s="34"/>
      <c r="W292" s="34"/>
      <c r="X292" s="34"/>
      <c r="Y292" s="34"/>
      <c r="Z292" s="34"/>
      <c r="AA292" s="34"/>
      <c r="AB292" s="34"/>
      <c r="AC292" s="34"/>
      <c r="AD292" s="34"/>
      <c r="AE292" s="34"/>
      <c r="AF292" s="34"/>
      <c r="AG292" s="34"/>
      <c r="AH292" s="34"/>
      <c r="AI292" s="34"/>
      <c r="AJ292" s="34"/>
      <c r="AK292" s="34"/>
      <c r="AL292" s="34"/>
      <c r="AM292" s="34"/>
      <c r="AN292" s="34"/>
      <c r="AO292" s="34"/>
      <c r="AP292" s="34"/>
    </row>
    <row r="293" spans="1:42">
      <c r="A293" s="3"/>
      <c r="B293" s="3"/>
      <c r="C293" s="3"/>
      <c r="D293" s="3"/>
      <c r="E293" s="3"/>
      <c r="F293" s="3"/>
      <c r="G293" s="3"/>
      <c r="H293" s="3"/>
      <c r="I293" s="34"/>
      <c r="J293" s="34"/>
      <c r="K293" s="34"/>
      <c r="L293" s="34"/>
      <c r="M293" s="34"/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34"/>
      <c r="Y293" s="34"/>
      <c r="Z293" s="34"/>
      <c r="AA293" s="34"/>
      <c r="AB293" s="34"/>
      <c r="AC293" s="34"/>
      <c r="AD293" s="34"/>
      <c r="AE293" s="34"/>
      <c r="AF293" s="34"/>
      <c r="AG293" s="34"/>
      <c r="AH293" s="34"/>
      <c r="AI293" s="34"/>
      <c r="AJ293" s="34"/>
      <c r="AK293" s="34"/>
      <c r="AL293" s="34"/>
      <c r="AM293" s="34"/>
      <c r="AN293" s="34"/>
      <c r="AO293" s="34"/>
      <c r="AP293" s="34"/>
    </row>
    <row r="294" spans="1:42">
      <c r="A294" s="3"/>
      <c r="B294" s="3"/>
      <c r="C294" s="3"/>
      <c r="D294" s="3"/>
      <c r="E294" s="3"/>
      <c r="F294" s="3"/>
      <c r="G294" s="3"/>
      <c r="H294" s="3"/>
      <c r="I294" s="34"/>
      <c r="J294" s="34"/>
      <c r="K294" s="34"/>
      <c r="L294" s="34"/>
      <c r="M294" s="34"/>
      <c r="N294" s="34"/>
      <c r="O294" s="34"/>
      <c r="P294" s="34"/>
      <c r="Q294" s="34"/>
      <c r="R294" s="34"/>
      <c r="S294" s="34"/>
      <c r="T294" s="34"/>
      <c r="U294" s="34"/>
      <c r="V294" s="34"/>
      <c r="W294" s="34"/>
      <c r="X294" s="34"/>
      <c r="Y294" s="34"/>
      <c r="Z294" s="34"/>
      <c r="AA294" s="34"/>
      <c r="AB294" s="34"/>
      <c r="AC294" s="34"/>
      <c r="AD294" s="34"/>
      <c r="AE294" s="34"/>
      <c r="AF294" s="34"/>
      <c r="AG294" s="34"/>
      <c r="AH294" s="34"/>
      <c r="AI294" s="34"/>
      <c r="AJ294" s="34"/>
      <c r="AK294" s="34"/>
      <c r="AL294" s="34"/>
      <c r="AM294" s="34"/>
      <c r="AN294" s="34"/>
      <c r="AO294" s="34"/>
      <c r="AP294" s="34"/>
    </row>
    <row r="295" spans="1:42">
      <c r="A295" s="3"/>
      <c r="B295" s="3"/>
      <c r="C295" s="3"/>
      <c r="D295" s="3"/>
      <c r="E295" s="3"/>
      <c r="F295" s="3"/>
      <c r="G295" s="3"/>
      <c r="H295" s="3"/>
      <c r="I295" s="34"/>
      <c r="J295" s="34"/>
      <c r="K295" s="34"/>
      <c r="L295" s="34"/>
      <c r="M295" s="34"/>
      <c r="N295" s="34"/>
      <c r="O295" s="34"/>
      <c r="P295" s="34"/>
      <c r="Q295" s="34"/>
      <c r="R295" s="34"/>
      <c r="S295" s="34"/>
      <c r="T295" s="34"/>
      <c r="U295" s="34"/>
      <c r="V295" s="34"/>
      <c r="W295" s="34"/>
      <c r="X295" s="34"/>
      <c r="Y295" s="34"/>
      <c r="Z295" s="34"/>
      <c r="AA295" s="34"/>
      <c r="AB295" s="34"/>
      <c r="AC295" s="34"/>
      <c r="AD295" s="34"/>
      <c r="AE295" s="34"/>
      <c r="AF295" s="34"/>
      <c r="AG295" s="34"/>
      <c r="AH295" s="34"/>
      <c r="AI295" s="34"/>
      <c r="AJ295" s="34"/>
      <c r="AK295" s="34"/>
      <c r="AL295" s="34"/>
      <c r="AM295" s="34"/>
      <c r="AN295" s="34"/>
      <c r="AO295" s="34"/>
      <c r="AP295" s="34"/>
    </row>
    <row r="296" spans="1:42">
      <c r="A296" s="3"/>
      <c r="B296" s="3"/>
      <c r="C296" s="3"/>
      <c r="D296" s="3"/>
      <c r="E296" s="3"/>
      <c r="F296" s="3"/>
      <c r="G296" s="3"/>
      <c r="H296" s="3"/>
      <c r="I296" s="34"/>
      <c r="J296" s="34"/>
      <c r="K296" s="34"/>
      <c r="L296" s="34"/>
      <c r="M296" s="34"/>
      <c r="N296" s="34"/>
      <c r="O296" s="34"/>
      <c r="P296" s="34"/>
      <c r="Q296" s="34"/>
      <c r="R296" s="34"/>
      <c r="S296" s="34"/>
      <c r="T296" s="34"/>
      <c r="U296" s="34"/>
      <c r="V296" s="34"/>
      <c r="W296" s="34"/>
      <c r="X296" s="34"/>
      <c r="Y296" s="34"/>
      <c r="Z296" s="34"/>
      <c r="AA296" s="34"/>
      <c r="AB296" s="34"/>
      <c r="AC296" s="34"/>
      <c r="AD296" s="34"/>
      <c r="AE296" s="34"/>
      <c r="AF296" s="34"/>
      <c r="AG296" s="34"/>
      <c r="AH296" s="34"/>
      <c r="AI296" s="34"/>
      <c r="AJ296" s="34"/>
      <c r="AK296" s="34"/>
      <c r="AL296" s="34"/>
      <c r="AM296" s="34"/>
      <c r="AN296" s="34"/>
      <c r="AO296" s="34"/>
      <c r="AP296" s="34"/>
    </row>
    <row r="297" spans="1:42">
      <c r="A297" s="3"/>
      <c r="B297" s="3"/>
      <c r="C297" s="3"/>
      <c r="D297" s="3"/>
      <c r="E297" s="3"/>
      <c r="F297" s="3"/>
      <c r="G297" s="3"/>
      <c r="H297" s="3"/>
      <c r="I297" s="34"/>
      <c r="J297" s="34"/>
      <c r="K297" s="34"/>
      <c r="L297" s="34"/>
      <c r="M297" s="34"/>
      <c r="N297" s="34"/>
      <c r="O297" s="34"/>
      <c r="P297" s="34"/>
      <c r="Q297" s="34"/>
      <c r="R297" s="34"/>
      <c r="S297" s="34"/>
      <c r="T297" s="34"/>
      <c r="U297" s="34"/>
      <c r="V297" s="34"/>
      <c r="W297" s="34"/>
      <c r="X297" s="34"/>
      <c r="Y297" s="34"/>
      <c r="Z297" s="34"/>
      <c r="AA297" s="34"/>
      <c r="AB297" s="34"/>
      <c r="AC297" s="34"/>
      <c r="AD297" s="34"/>
      <c r="AE297" s="34"/>
      <c r="AF297" s="34"/>
      <c r="AG297" s="34"/>
      <c r="AH297" s="34"/>
      <c r="AI297" s="34"/>
      <c r="AJ297" s="34"/>
      <c r="AK297" s="34"/>
      <c r="AL297" s="34"/>
      <c r="AM297" s="34"/>
      <c r="AN297" s="34"/>
      <c r="AO297" s="34"/>
      <c r="AP297" s="34"/>
    </row>
    <row r="298" spans="1:42">
      <c r="A298" s="3"/>
      <c r="B298" s="3"/>
      <c r="C298" s="3"/>
      <c r="D298" s="3"/>
      <c r="E298" s="3"/>
      <c r="F298" s="3"/>
      <c r="G298" s="3"/>
      <c r="H298" s="3"/>
      <c r="I298" s="34"/>
      <c r="J298" s="34"/>
      <c r="K298" s="34"/>
      <c r="L298" s="34"/>
      <c r="M298" s="34"/>
      <c r="N298" s="34"/>
      <c r="O298" s="34"/>
      <c r="P298" s="34"/>
      <c r="Q298" s="34"/>
      <c r="R298" s="34"/>
      <c r="S298" s="34"/>
      <c r="T298" s="34"/>
      <c r="U298" s="34"/>
      <c r="V298" s="34"/>
      <c r="W298" s="34"/>
      <c r="X298" s="34"/>
      <c r="Y298" s="34"/>
      <c r="Z298" s="34"/>
      <c r="AA298" s="34"/>
      <c r="AB298" s="34"/>
      <c r="AC298" s="34"/>
      <c r="AD298" s="34"/>
      <c r="AE298" s="34"/>
      <c r="AF298" s="34"/>
      <c r="AG298" s="34"/>
      <c r="AH298" s="34"/>
      <c r="AI298" s="34"/>
      <c r="AJ298" s="34"/>
      <c r="AK298" s="34"/>
      <c r="AL298" s="34"/>
      <c r="AM298" s="34"/>
      <c r="AN298" s="34"/>
      <c r="AO298" s="34"/>
      <c r="AP298" s="34"/>
    </row>
    <row r="299" spans="1:42">
      <c r="A299" s="3"/>
      <c r="B299" s="3"/>
      <c r="C299" s="3"/>
      <c r="D299" s="3"/>
      <c r="E299" s="3"/>
      <c r="F299" s="3"/>
      <c r="G299" s="3"/>
      <c r="H299" s="3"/>
      <c r="I299" s="34"/>
      <c r="J299" s="34"/>
      <c r="K299" s="34"/>
      <c r="L299" s="34"/>
      <c r="M299" s="34"/>
      <c r="N299" s="34"/>
      <c r="O299" s="34"/>
      <c r="P299" s="34"/>
      <c r="Q299" s="34"/>
      <c r="R299" s="34"/>
      <c r="S299" s="34"/>
      <c r="T299" s="34"/>
      <c r="U299" s="34"/>
      <c r="V299" s="34"/>
      <c r="W299" s="34"/>
      <c r="X299" s="34"/>
      <c r="Y299" s="34"/>
      <c r="Z299" s="34"/>
      <c r="AA299" s="34"/>
      <c r="AB299" s="34"/>
      <c r="AC299" s="34"/>
      <c r="AD299" s="34"/>
      <c r="AE299" s="34"/>
      <c r="AF299" s="34"/>
      <c r="AG299" s="34"/>
      <c r="AH299" s="34"/>
      <c r="AI299" s="34"/>
      <c r="AJ299" s="34"/>
      <c r="AK299" s="34"/>
      <c r="AL299" s="34"/>
      <c r="AM299" s="34"/>
      <c r="AN299" s="34"/>
      <c r="AO299" s="34"/>
      <c r="AP299" s="34"/>
    </row>
    <row r="300" spans="1:42">
      <c r="A300" s="3"/>
      <c r="B300" s="3"/>
      <c r="C300" s="3"/>
      <c r="D300" s="3"/>
      <c r="E300" s="3"/>
      <c r="F300" s="3"/>
      <c r="G300" s="3"/>
      <c r="H300" s="3"/>
      <c r="I300" s="34"/>
      <c r="J300" s="34"/>
      <c r="K300" s="34"/>
      <c r="L300" s="34"/>
      <c r="M300" s="34"/>
      <c r="N300" s="34"/>
      <c r="O300" s="34"/>
      <c r="P300" s="34"/>
      <c r="Q300" s="34"/>
      <c r="R300" s="34"/>
      <c r="S300" s="34"/>
      <c r="T300" s="34"/>
      <c r="U300" s="34"/>
      <c r="V300" s="34"/>
      <c r="W300" s="34"/>
      <c r="X300" s="34"/>
      <c r="Y300" s="34"/>
      <c r="Z300" s="34"/>
      <c r="AA300" s="34"/>
      <c r="AB300" s="34"/>
      <c r="AC300" s="34"/>
      <c r="AD300" s="34"/>
      <c r="AE300" s="34"/>
      <c r="AF300" s="34"/>
      <c r="AG300" s="34"/>
      <c r="AH300" s="34"/>
      <c r="AI300" s="34"/>
      <c r="AJ300" s="34"/>
      <c r="AK300" s="34"/>
      <c r="AL300" s="34"/>
      <c r="AM300" s="34"/>
      <c r="AN300" s="34"/>
      <c r="AO300" s="34"/>
      <c r="AP300" s="34"/>
    </row>
    <row r="301" spans="1:42">
      <c r="A301" s="3"/>
      <c r="B301" s="3"/>
      <c r="C301" s="3"/>
      <c r="D301" s="3"/>
      <c r="E301" s="3"/>
      <c r="F301" s="3"/>
      <c r="G301" s="3"/>
      <c r="H301" s="3"/>
      <c r="I301" s="34"/>
      <c r="J301" s="34"/>
      <c r="K301" s="34"/>
      <c r="L301" s="34"/>
      <c r="M301" s="34"/>
      <c r="N301" s="34"/>
      <c r="O301" s="34"/>
      <c r="P301" s="34"/>
      <c r="Q301" s="34"/>
      <c r="R301" s="34"/>
      <c r="S301" s="34"/>
      <c r="T301" s="34"/>
      <c r="U301" s="34"/>
      <c r="V301" s="34"/>
      <c r="W301" s="34"/>
      <c r="X301" s="34"/>
      <c r="Y301" s="34"/>
      <c r="Z301" s="34"/>
      <c r="AA301" s="34"/>
      <c r="AB301" s="34"/>
      <c r="AC301" s="34"/>
      <c r="AD301" s="34"/>
      <c r="AE301" s="34"/>
      <c r="AF301" s="34"/>
      <c r="AG301" s="34"/>
      <c r="AH301" s="34"/>
      <c r="AI301" s="34"/>
      <c r="AJ301" s="34"/>
      <c r="AK301" s="34"/>
      <c r="AL301" s="34"/>
      <c r="AM301" s="34"/>
      <c r="AN301" s="34"/>
      <c r="AO301" s="34"/>
      <c r="AP301" s="34"/>
    </row>
    <row r="302" spans="1:42">
      <c r="A302" s="3"/>
      <c r="B302" s="3"/>
      <c r="C302" s="3"/>
      <c r="D302" s="3"/>
      <c r="E302" s="3"/>
      <c r="F302" s="3"/>
      <c r="G302" s="3"/>
      <c r="H302" s="3"/>
      <c r="I302" s="34"/>
      <c r="J302" s="34"/>
      <c r="K302" s="34"/>
      <c r="L302" s="34"/>
      <c r="M302" s="34"/>
      <c r="N302" s="34"/>
      <c r="O302" s="34"/>
      <c r="P302" s="34"/>
      <c r="Q302" s="34"/>
      <c r="R302" s="34"/>
      <c r="S302" s="34"/>
      <c r="T302" s="34"/>
      <c r="U302" s="34"/>
      <c r="V302" s="34"/>
      <c r="W302" s="34"/>
      <c r="X302" s="34"/>
      <c r="Y302" s="34"/>
      <c r="Z302" s="34"/>
      <c r="AA302" s="34"/>
      <c r="AB302" s="34"/>
      <c r="AC302" s="34"/>
      <c r="AD302" s="34"/>
      <c r="AE302" s="34"/>
      <c r="AF302" s="34"/>
      <c r="AG302" s="34"/>
      <c r="AH302" s="34"/>
      <c r="AI302" s="34"/>
      <c r="AJ302" s="34"/>
      <c r="AK302" s="34"/>
      <c r="AL302" s="34"/>
      <c r="AM302" s="34"/>
      <c r="AN302" s="34"/>
      <c r="AO302" s="34"/>
      <c r="AP302" s="34"/>
    </row>
    <row r="303" spans="1:42">
      <c r="A303" s="3"/>
      <c r="B303" s="3"/>
      <c r="C303" s="3"/>
      <c r="D303" s="3"/>
      <c r="E303" s="3"/>
      <c r="F303" s="3"/>
      <c r="G303" s="3"/>
      <c r="H303" s="3"/>
      <c r="I303" s="34"/>
      <c r="J303" s="34"/>
      <c r="K303" s="34"/>
      <c r="L303" s="34"/>
      <c r="M303" s="34"/>
      <c r="N303" s="34"/>
      <c r="O303" s="34"/>
      <c r="P303" s="34"/>
      <c r="Q303" s="34"/>
      <c r="R303" s="34"/>
      <c r="S303" s="34"/>
      <c r="T303" s="34"/>
      <c r="U303" s="34"/>
      <c r="V303" s="34"/>
      <c r="W303" s="34"/>
      <c r="X303" s="34"/>
      <c r="Y303" s="34"/>
      <c r="Z303" s="34"/>
      <c r="AA303" s="34"/>
      <c r="AB303" s="34"/>
      <c r="AC303" s="34"/>
      <c r="AD303" s="34"/>
      <c r="AE303" s="34"/>
      <c r="AF303" s="34"/>
      <c r="AG303" s="34"/>
      <c r="AH303" s="34"/>
      <c r="AI303" s="34"/>
      <c r="AJ303" s="34"/>
      <c r="AK303" s="34"/>
      <c r="AL303" s="34"/>
      <c r="AM303" s="34"/>
      <c r="AN303" s="34"/>
      <c r="AO303" s="34"/>
      <c r="AP303" s="34"/>
    </row>
    <row r="304" spans="1:42">
      <c r="A304" s="3"/>
      <c r="B304" s="3"/>
      <c r="C304" s="3"/>
      <c r="D304" s="3"/>
      <c r="E304" s="3"/>
      <c r="F304" s="3"/>
      <c r="G304" s="3"/>
      <c r="H304" s="3"/>
      <c r="I304" s="34"/>
      <c r="J304" s="34"/>
      <c r="K304" s="34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4"/>
      <c r="Y304" s="34"/>
      <c r="Z304" s="34"/>
      <c r="AA304" s="34"/>
      <c r="AB304" s="34"/>
      <c r="AC304" s="34"/>
      <c r="AD304" s="34"/>
      <c r="AE304" s="34"/>
      <c r="AF304" s="34"/>
      <c r="AG304" s="34"/>
      <c r="AH304" s="34"/>
      <c r="AI304" s="34"/>
      <c r="AJ304" s="34"/>
      <c r="AK304" s="34"/>
      <c r="AL304" s="34"/>
      <c r="AM304" s="34"/>
      <c r="AN304" s="34"/>
      <c r="AO304" s="34"/>
      <c r="AP304" s="34"/>
    </row>
    <row r="305" spans="1:42">
      <c r="A305" s="3"/>
      <c r="B305" s="3"/>
      <c r="C305" s="3"/>
      <c r="D305" s="3"/>
      <c r="E305" s="3"/>
      <c r="F305" s="3"/>
      <c r="G305" s="3"/>
      <c r="H305" s="3"/>
      <c r="I305" s="34"/>
      <c r="J305" s="34"/>
      <c r="K305" s="34"/>
      <c r="L305" s="34"/>
      <c r="M305" s="34"/>
      <c r="N305" s="34"/>
      <c r="O305" s="34"/>
      <c r="P305" s="34"/>
      <c r="Q305" s="34"/>
      <c r="R305" s="34"/>
      <c r="S305" s="34"/>
      <c r="T305" s="34"/>
      <c r="U305" s="34"/>
      <c r="V305" s="34"/>
      <c r="W305" s="34"/>
      <c r="X305" s="34"/>
      <c r="Y305" s="34"/>
      <c r="Z305" s="34"/>
      <c r="AA305" s="34"/>
      <c r="AB305" s="34"/>
      <c r="AC305" s="34"/>
      <c r="AD305" s="34"/>
      <c r="AE305" s="34"/>
      <c r="AF305" s="34"/>
      <c r="AG305" s="34"/>
      <c r="AH305" s="34"/>
      <c r="AI305" s="34"/>
      <c r="AJ305" s="34"/>
      <c r="AK305" s="34"/>
      <c r="AL305" s="34"/>
      <c r="AM305" s="34"/>
      <c r="AN305" s="34"/>
      <c r="AO305" s="34"/>
      <c r="AP305" s="34"/>
    </row>
    <row r="306" spans="1:42">
      <c r="A306" s="3"/>
      <c r="B306" s="3"/>
      <c r="C306" s="3"/>
      <c r="D306" s="3"/>
      <c r="E306" s="3"/>
      <c r="F306" s="3"/>
      <c r="G306" s="3"/>
      <c r="H306" s="3"/>
      <c r="I306" s="34"/>
      <c r="J306" s="34"/>
      <c r="K306" s="34"/>
      <c r="L306" s="34"/>
      <c r="M306" s="34"/>
      <c r="N306" s="34"/>
      <c r="O306" s="34"/>
      <c r="P306" s="34"/>
      <c r="Q306" s="34"/>
      <c r="R306" s="34"/>
      <c r="S306" s="34"/>
      <c r="T306" s="34"/>
      <c r="U306" s="34"/>
      <c r="V306" s="34"/>
      <c r="W306" s="34"/>
      <c r="X306" s="34"/>
      <c r="Y306" s="34"/>
      <c r="Z306" s="34"/>
      <c r="AA306" s="34"/>
      <c r="AB306" s="34"/>
      <c r="AC306" s="34"/>
      <c r="AD306" s="34"/>
      <c r="AE306" s="34"/>
      <c r="AF306" s="34"/>
      <c r="AG306" s="34"/>
      <c r="AH306" s="34"/>
      <c r="AI306" s="34"/>
      <c r="AJ306" s="34"/>
      <c r="AK306" s="34"/>
      <c r="AL306" s="34"/>
      <c r="AM306" s="34"/>
      <c r="AN306" s="34"/>
      <c r="AO306" s="34"/>
      <c r="AP306" s="34"/>
    </row>
    <row r="307" spans="1:42">
      <c r="A307" s="3"/>
      <c r="B307" s="3"/>
      <c r="C307" s="3"/>
      <c r="D307" s="3"/>
      <c r="E307" s="3"/>
      <c r="F307" s="3"/>
      <c r="G307" s="3"/>
      <c r="H307" s="3"/>
      <c r="I307" s="34"/>
      <c r="J307" s="34"/>
      <c r="K307" s="34"/>
      <c r="L307" s="34"/>
      <c r="M307" s="34"/>
      <c r="N307" s="34"/>
      <c r="O307" s="34"/>
      <c r="P307" s="34"/>
      <c r="Q307" s="34"/>
      <c r="R307" s="34"/>
      <c r="S307" s="34"/>
      <c r="T307" s="34"/>
      <c r="U307" s="34"/>
      <c r="V307" s="34"/>
      <c r="W307" s="34"/>
      <c r="X307" s="34"/>
      <c r="Y307" s="34"/>
      <c r="Z307" s="34"/>
      <c r="AA307" s="34"/>
      <c r="AB307" s="34"/>
      <c r="AC307" s="34"/>
      <c r="AD307" s="34"/>
      <c r="AE307" s="34"/>
      <c r="AF307" s="34"/>
      <c r="AG307" s="34"/>
      <c r="AH307" s="34"/>
      <c r="AI307" s="34"/>
      <c r="AJ307" s="34"/>
      <c r="AK307" s="34"/>
      <c r="AL307" s="34"/>
      <c r="AM307" s="34"/>
      <c r="AN307" s="34"/>
      <c r="AO307" s="34"/>
      <c r="AP307" s="34"/>
    </row>
    <row r="308" spans="1:42">
      <c r="A308" s="3"/>
      <c r="B308" s="3"/>
      <c r="C308" s="3"/>
      <c r="D308" s="3"/>
      <c r="E308" s="3"/>
      <c r="F308" s="3"/>
      <c r="G308" s="3"/>
      <c r="H308" s="3"/>
      <c r="I308" s="34"/>
      <c r="J308" s="34"/>
      <c r="K308" s="34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4"/>
      <c r="Y308" s="34"/>
      <c r="Z308" s="34"/>
      <c r="AA308" s="34"/>
      <c r="AB308" s="34"/>
      <c r="AC308" s="34"/>
      <c r="AD308" s="34"/>
      <c r="AE308" s="34"/>
      <c r="AF308" s="34"/>
      <c r="AG308" s="34"/>
      <c r="AH308" s="34"/>
      <c r="AI308" s="34"/>
      <c r="AJ308" s="34"/>
      <c r="AK308" s="34"/>
      <c r="AL308" s="34"/>
      <c r="AM308" s="34"/>
      <c r="AN308" s="34"/>
      <c r="AO308" s="34"/>
      <c r="AP308" s="34"/>
    </row>
    <row r="309" spans="1:42">
      <c r="A309" s="3"/>
      <c r="B309" s="3"/>
      <c r="C309" s="3"/>
      <c r="D309" s="3"/>
      <c r="E309" s="3"/>
      <c r="F309" s="3"/>
      <c r="G309" s="3"/>
      <c r="H309" s="3"/>
      <c r="I309" s="34"/>
      <c r="J309" s="34"/>
      <c r="K309" s="34"/>
      <c r="L309" s="34"/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4"/>
      <c r="Y309" s="34"/>
      <c r="Z309" s="34"/>
      <c r="AA309" s="34"/>
      <c r="AB309" s="34"/>
      <c r="AC309" s="34"/>
      <c r="AD309" s="34"/>
      <c r="AE309" s="34"/>
      <c r="AF309" s="34"/>
      <c r="AG309" s="34"/>
      <c r="AH309" s="34"/>
      <c r="AI309" s="34"/>
      <c r="AJ309" s="34"/>
      <c r="AK309" s="34"/>
      <c r="AL309" s="34"/>
      <c r="AM309" s="34"/>
      <c r="AN309" s="34"/>
      <c r="AO309" s="34"/>
      <c r="AP309" s="34"/>
    </row>
    <row r="310" spans="1:42">
      <c r="A310" s="3"/>
      <c r="B310" s="3"/>
      <c r="C310" s="3"/>
      <c r="D310" s="3"/>
      <c r="E310" s="3"/>
      <c r="F310" s="3"/>
      <c r="G310" s="3"/>
      <c r="H310" s="3"/>
      <c r="I310" s="34"/>
      <c r="J310" s="34"/>
      <c r="K310" s="34"/>
      <c r="L310" s="34"/>
      <c r="M310" s="34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4"/>
      <c r="Y310" s="34"/>
      <c r="Z310" s="34"/>
      <c r="AA310" s="34"/>
      <c r="AB310" s="34"/>
      <c r="AC310" s="34"/>
      <c r="AD310" s="34"/>
      <c r="AE310" s="34"/>
      <c r="AF310" s="34"/>
      <c r="AG310" s="34"/>
      <c r="AH310" s="34"/>
      <c r="AI310" s="34"/>
      <c r="AJ310" s="34"/>
      <c r="AK310" s="34"/>
      <c r="AL310" s="34"/>
      <c r="AM310" s="34"/>
      <c r="AN310" s="34"/>
      <c r="AO310" s="34"/>
      <c r="AP310" s="34"/>
    </row>
    <row r="311" spans="1:42">
      <c r="A311" s="3"/>
      <c r="B311" s="3"/>
      <c r="C311" s="3"/>
      <c r="D311" s="3"/>
      <c r="E311" s="3"/>
      <c r="F311" s="3"/>
      <c r="G311" s="3"/>
      <c r="H311" s="3"/>
      <c r="I311" s="34"/>
      <c r="J311" s="34"/>
      <c r="K311" s="34"/>
      <c r="L311" s="34"/>
      <c r="M311" s="34"/>
      <c r="N311" s="34"/>
      <c r="O311" s="34"/>
      <c r="P311" s="34"/>
      <c r="Q311" s="34"/>
      <c r="R311" s="34"/>
      <c r="S311" s="34"/>
      <c r="T311" s="34"/>
      <c r="U311" s="34"/>
      <c r="V311" s="34"/>
      <c r="W311" s="34"/>
      <c r="X311" s="34"/>
      <c r="Y311" s="34"/>
      <c r="Z311" s="34"/>
      <c r="AA311" s="34"/>
      <c r="AB311" s="34"/>
      <c r="AC311" s="34"/>
      <c r="AD311" s="34"/>
      <c r="AE311" s="34"/>
      <c r="AF311" s="34"/>
      <c r="AG311" s="34"/>
      <c r="AH311" s="34"/>
      <c r="AI311" s="34"/>
      <c r="AJ311" s="34"/>
      <c r="AK311" s="34"/>
      <c r="AL311" s="34"/>
      <c r="AM311" s="34"/>
      <c r="AN311" s="34"/>
      <c r="AO311" s="34"/>
      <c r="AP311" s="34"/>
    </row>
    <row r="312" spans="1:42">
      <c r="A312" s="3"/>
      <c r="B312" s="3"/>
      <c r="C312" s="3"/>
      <c r="D312" s="3"/>
      <c r="E312" s="3"/>
      <c r="F312" s="3"/>
      <c r="G312" s="3"/>
      <c r="H312" s="3"/>
      <c r="I312" s="34"/>
      <c r="J312" s="34"/>
      <c r="K312" s="34"/>
      <c r="L312" s="34"/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4"/>
      <c r="Y312" s="34"/>
      <c r="Z312" s="34"/>
      <c r="AA312" s="34"/>
      <c r="AB312" s="34"/>
      <c r="AC312" s="34"/>
      <c r="AD312" s="34"/>
      <c r="AE312" s="34"/>
      <c r="AF312" s="34"/>
      <c r="AG312" s="34"/>
      <c r="AH312" s="34"/>
      <c r="AI312" s="34"/>
      <c r="AJ312" s="34"/>
      <c r="AK312" s="34"/>
      <c r="AL312" s="34"/>
      <c r="AM312" s="34"/>
      <c r="AN312" s="34"/>
      <c r="AO312" s="34"/>
      <c r="AP312" s="34"/>
    </row>
    <row r="313" spans="1:42">
      <c r="A313" s="3"/>
      <c r="B313" s="3"/>
      <c r="C313" s="3"/>
      <c r="D313" s="3"/>
      <c r="E313" s="3"/>
      <c r="F313" s="3"/>
      <c r="G313" s="3"/>
      <c r="H313" s="3"/>
      <c r="I313" s="34"/>
      <c r="J313" s="34"/>
      <c r="K313" s="34"/>
      <c r="L313" s="34"/>
      <c r="M313" s="34"/>
      <c r="N313" s="34"/>
      <c r="O313" s="34"/>
      <c r="P313" s="34"/>
      <c r="Q313" s="34"/>
      <c r="R313" s="34"/>
      <c r="S313" s="34"/>
      <c r="T313" s="34"/>
      <c r="U313" s="34"/>
      <c r="V313" s="34"/>
      <c r="W313" s="34"/>
      <c r="X313" s="34"/>
      <c r="Y313" s="34"/>
      <c r="Z313" s="34"/>
      <c r="AA313" s="34"/>
      <c r="AB313" s="34"/>
      <c r="AC313" s="34"/>
      <c r="AD313" s="34"/>
      <c r="AE313" s="34"/>
      <c r="AF313" s="34"/>
      <c r="AG313" s="34"/>
      <c r="AH313" s="34"/>
      <c r="AI313" s="34"/>
      <c r="AJ313" s="34"/>
      <c r="AK313" s="34"/>
      <c r="AL313" s="34"/>
      <c r="AM313" s="34"/>
      <c r="AN313" s="34"/>
      <c r="AO313" s="34"/>
      <c r="AP313" s="34"/>
    </row>
    <row r="314" spans="1:42">
      <c r="A314" s="3"/>
      <c r="B314" s="3"/>
      <c r="C314" s="3"/>
      <c r="D314" s="3"/>
      <c r="E314" s="3"/>
      <c r="F314" s="3"/>
      <c r="G314" s="3"/>
      <c r="H314" s="3"/>
      <c r="I314" s="34"/>
      <c r="J314" s="34"/>
      <c r="K314" s="34"/>
      <c r="L314" s="34"/>
      <c r="M314" s="34"/>
      <c r="N314" s="34"/>
      <c r="O314" s="34"/>
      <c r="P314" s="34"/>
      <c r="Q314" s="34"/>
      <c r="R314" s="34"/>
      <c r="S314" s="34"/>
      <c r="T314" s="34"/>
      <c r="U314" s="34"/>
      <c r="V314" s="34"/>
      <c r="W314" s="34"/>
      <c r="X314" s="34"/>
      <c r="Y314" s="34"/>
      <c r="Z314" s="34"/>
      <c r="AA314" s="34"/>
      <c r="AB314" s="34"/>
      <c r="AC314" s="34"/>
      <c r="AD314" s="34"/>
      <c r="AE314" s="34"/>
      <c r="AF314" s="34"/>
      <c r="AG314" s="34"/>
      <c r="AH314" s="34"/>
      <c r="AI314" s="34"/>
      <c r="AJ314" s="34"/>
      <c r="AK314" s="34"/>
      <c r="AL314" s="34"/>
      <c r="AM314" s="34"/>
      <c r="AN314" s="34"/>
      <c r="AO314" s="34"/>
      <c r="AP314" s="34"/>
    </row>
    <row r="315" spans="1:42">
      <c r="A315" s="3"/>
      <c r="B315" s="3"/>
      <c r="C315" s="3"/>
      <c r="D315" s="3"/>
      <c r="E315" s="3"/>
      <c r="F315" s="3"/>
      <c r="G315" s="3"/>
      <c r="H315" s="3"/>
      <c r="I315" s="34"/>
      <c r="J315" s="34"/>
      <c r="K315" s="34"/>
      <c r="L315" s="34"/>
      <c r="M315" s="34"/>
      <c r="N315" s="34"/>
      <c r="O315" s="34"/>
      <c r="P315" s="34"/>
      <c r="Q315" s="34"/>
      <c r="R315" s="34"/>
      <c r="S315" s="34"/>
      <c r="T315" s="34"/>
      <c r="U315" s="34"/>
      <c r="V315" s="34"/>
      <c r="W315" s="34"/>
      <c r="X315" s="34"/>
      <c r="Y315" s="34"/>
      <c r="Z315" s="34"/>
      <c r="AA315" s="34"/>
      <c r="AB315" s="34"/>
      <c r="AC315" s="34"/>
      <c r="AD315" s="34"/>
      <c r="AE315" s="34"/>
      <c r="AF315" s="34"/>
      <c r="AG315" s="34"/>
      <c r="AH315" s="34"/>
      <c r="AI315" s="34"/>
      <c r="AJ315" s="34"/>
      <c r="AK315" s="34"/>
      <c r="AL315" s="34"/>
      <c r="AM315" s="34"/>
      <c r="AN315" s="34"/>
      <c r="AO315" s="34"/>
      <c r="AP315" s="34"/>
    </row>
    <row r="316" spans="1:42">
      <c r="A316" s="3"/>
      <c r="B316" s="3"/>
      <c r="C316" s="3"/>
      <c r="D316" s="3"/>
      <c r="E316" s="3"/>
      <c r="F316" s="3"/>
      <c r="G316" s="3"/>
      <c r="H316" s="3"/>
      <c r="I316" s="34"/>
      <c r="J316" s="34"/>
      <c r="K316" s="34"/>
      <c r="L316" s="34"/>
      <c r="M316" s="34"/>
      <c r="N316" s="34"/>
      <c r="O316" s="34"/>
      <c r="P316" s="34"/>
      <c r="Q316" s="34"/>
      <c r="R316" s="34"/>
      <c r="S316" s="34"/>
      <c r="T316" s="34"/>
      <c r="U316" s="34"/>
      <c r="V316" s="34"/>
      <c r="W316" s="34"/>
      <c r="X316" s="34"/>
      <c r="Y316" s="34"/>
      <c r="Z316" s="34"/>
      <c r="AA316" s="34"/>
      <c r="AB316" s="34"/>
      <c r="AC316" s="34"/>
      <c r="AD316" s="34"/>
      <c r="AE316" s="34"/>
      <c r="AF316" s="34"/>
      <c r="AG316" s="34"/>
      <c r="AH316" s="34"/>
      <c r="AI316" s="34"/>
      <c r="AJ316" s="34"/>
      <c r="AK316" s="34"/>
      <c r="AL316" s="34"/>
      <c r="AM316" s="34"/>
      <c r="AN316" s="34"/>
      <c r="AO316" s="34"/>
      <c r="AP316" s="34"/>
    </row>
    <row r="317" spans="1:42">
      <c r="A317" s="3"/>
      <c r="B317" s="3"/>
      <c r="C317" s="3"/>
      <c r="D317" s="3"/>
      <c r="E317" s="3"/>
      <c r="F317" s="3"/>
      <c r="G317" s="3"/>
      <c r="H317" s="3"/>
      <c r="I317" s="34"/>
      <c r="J317" s="34"/>
      <c r="K317" s="34"/>
      <c r="L317" s="34"/>
      <c r="M317" s="34"/>
      <c r="N317" s="34"/>
      <c r="O317" s="34"/>
      <c r="P317" s="34"/>
      <c r="Q317" s="34"/>
      <c r="R317" s="34"/>
      <c r="S317" s="34"/>
      <c r="T317" s="34"/>
      <c r="U317" s="34"/>
      <c r="V317" s="34"/>
      <c r="W317" s="34"/>
      <c r="X317" s="34"/>
      <c r="Y317" s="34"/>
      <c r="Z317" s="34"/>
      <c r="AA317" s="34"/>
      <c r="AB317" s="34"/>
      <c r="AC317" s="34"/>
      <c r="AD317" s="34"/>
      <c r="AE317" s="34"/>
      <c r="AF317" s="34"/>
      <c r="AG317" s="34"/>
      <c r="AH317" s="34"/>
      <c r="AI317" s="34"/>
      <c r="AJ317" s="34"/>
      <c r="AK317" s="34"/>
      <c r="AL317" s="34"/>
      <c r="AM317" s="34"/>
      <c r="AN317" s="34"/>
      <c r="AO317" s="34"/>
      <c r="AP317" s="34"/>
    </row>
    <row r="318" spans="1:42">
      <c r="A318" s="3"/>
      <c r="B318" s="3"/>
      <c r="C318" s="3"/>
      <c r="D318" s="3"/>
      <c r="E318" s="3"/>
      <c r="F318" s="3"/>
      <c r="G318" s="3"/>
      <c r="H318" s="3"/>
      <c r="I318" s="34"/>
      <c r="J318" s="34"/>
      <c r="K318" s="34"/>
      <c r="L318" s="34"/>
      <c r="M318" s="34"/>
      <c r="N318" s="34"/>
      <c r="O318" s="34"/>
      <c r="P318" s="34"/>
      <c r="Q318" s="34"/>
      <c r="R318" s="34"/>
      <c r="S318" s="34"/>
      <c r="T318" s="34"/>
      <c r="U318" s="34"/>
      <c r="V318" s="34"/>
      <c r="W318" s="34"/>
      <c r="X318" s="34"/>
      <c r="Y318" s="34"/>
      <c r="Z318" s="34"/>
      <c r="AA318" s="34"/>
      <c r="AB318" s="34"/>
      <c r="AC318" s="34"/>
      <c r="AD318" s="34"/>
      <c r="AE318" s="34"/>
      <c r="AF318" s="34"/>
      <c r="AG318" s="34"/>
      <c r="AH318" s="34"/>
      <c r="AI318" s="34"/>
      <c r="AJ318" s="34"/>
      <c r="AK318" s="34"/>
      <c r="AL318" s="34"/>
      <c r="AM318" s="34"/>
      <c r="AN318" s="34"/>
      <c r="AO318" s="34"/>
      <c r="AP318" s="34"/>
    </row>
    <row r="319" spans="1:42">
      <c r="A319" s="3"/>
      <c r="B319" s="3"/>
      <c r="C319" s="3"/>
      <c r="D319" s="3"/>
      <c r="E319" s="3"/>
      <c r="F319" s="3"/>
      <c r="G319" s="3"/>
      <c r="H319" s="3"/>
      <c r="I319" s="34"/>
      <c r="J319" s="34"/>
      <c r="K319" s="34"/>
      <c r="L319" s="34"/>
      <c r="M319" s="34"/>
      <c r="N319" s="34"/>
      <c r="O319" s="34"/>
      <c r="P319" s="34"/>
      <c r="Q319" s="34"/>
      <c r="R319" s="34"/>
      <c r="S319" s="34"/>
      <c r="T319" s="34"/>
      <c r="U319" s="34"/>
      <c r="V319" s="34"/>
      <c r="W319" s="34"/>
      <c r="X319" s="34"/>
      <c r="Y319" s="34"/>
      <c r="Z319" s="34"/>
      <c r="AA319" s="34"/>
      <c r="AB319" s="34"/>
      <c r="AC319" s="34"/>
      <c r="AD319" s="34"/>
      <c r="AE319" s="34"/>
      <c r="AF319" s="34"/>
      <c r="AG319" s="34"/>
      <c r="AH319" s="34"/>
      <c r="AI319" s="34"/>
      <c r="AJ319" s="34"/>
      <c r="AK319" s="34"/>
      <c r="AL319" s="34"/>
      <c r="AM319" s="34"/>
      <c r="AN319" s="34"/>
      <c r="AO319" s="34"/>
      <c r="AP319" s="34"/>
    </row>
    <row r="320" spans="1:42">
      <c r="A320" s="3"/>
      <c r="B320" s="3"/>
      <c r="C320" s="3"/>
      <c r="D320" s="3"/>
      <c r="E320" s="3"/>
      <c r="F320" s="3"/>
      <c r="G320" s="3"/>
      <c r="H320" s="3"/>
      <c r="I320" s="34"/>
      <c r="J320" s="34"/>
      <c r="K320" s="34"/>
      <c r="L320" s="34"/>
      <c r="M320" s="34"/>
      <c r="N320" s="34"/>
      <c r="O320" s="34"/>
      <c r="P320" s="34"/>
      <c r="Q320" s="34"/>
      <c r="R320" s="34"/>
      <c r="S320" s="34"/>
      <c r="T320" s="34"/>
      <c r="U320" s="34"/>
      <c r="V320" s="34"/>
      <c r="W320" s="34"/>
      <c r="X320" s="34"/>
      <c r="Y320" s="34"/>
      <c r="Z320" s="34"/>
      <c r="AA320" s="34"/>
      <c r="AB320" s="34"/>
      <c r="AC320" s="34"/>
      <c r="AD320" s="34"/>
      <c r="AE320" s="34"/>
      <c r="AF320" s="34"/>
      <c r="AG320" s="34"/>
      <c r="AH320" s="34"/>
      <c r="AI320" s="34"/>
      <c r="AJ320" s="34"/>
      <c r="AK320" s="34"/>
      <c r="AL320" s="34"/>
      <c r="AM320" s="34"/>
      <c r="AN320" s="34"/>
      <c r="AO320" s="34"/>
      <c r="AP320" s="34"/>
    </row>
    <row r="321" spans="1:42">
      <c r="A321" s="3"/>
      <c r="B321" s="3"/>
      <c r="C321" s="3"/>
      <c r="D321" s="3"/>
      <c r="E321" s="3"/>
      <c r="F321" s="3"/>
      <c r="G321" s="3"/>
      <c r="H321" s="3"/>
      <c r="I321" s="34"/>
      <c r="J321" s="34"/>
      <c r="K321" s="34"/>
      <c r="L321" s="34"/>
      <c r="M321" s="34"/>
      <c r="N321" s="34"/>
      <c r="O321" s="34"/>
      <c r="P321" s="34"/>
      <c r="Q321" s="34"/>
      <c r="R321" s="34"/>
      <c r="S321" s="34"/>
      <c r="T321" s="34"/>
      <c r="U321" s="34"/>
      <c r="V321" s="34"/>
      <c r="W321" s="34"/>
      <c r="X321" s="34"/>
      <c r="Y321" s="34"/>
      <c r="Z321" s="34"/>
      <c r="AA321" s="34"/>
      <c r="AB321" s="34"/>
      <c r="AC321" s="34"/>
      <c r="AD321" s="34"/>
      <c r="AE321" s="34"/>
      <c r="AF321" s="34"/>
      <c r="AG321" s="34"/>
      <c r="AH321" s="34"/>
      <c r="AI321" s="34"/>
      <c r="AJ321" s="34"/>
      <c r="AK321" s="34"/>
      <c r="AL321" s="34"/>
      <c r="AM321" s="34"/>
      <c r="AN321" s="34"/>
      <c r="AO321" s="34"/>
      <c r="AP321" s="34"/>
    </row>
    <row r="322" spans="1:42">
      <c r="A322" s="3"/>
      <c r="B322" s="3"/>
      <c r="C322" s="3"/>
      <c r="D322" s="3"/>
      <c r="E322" s="3"/>
      <c r="F322" s="3"/>
      <c r="G322" s="3"/>
      <c r="H322" s="3"/>
      <c r="I322" s="34"/>
      <c r="J322" s="34"/>
      <c r="K322" s="34"/>
      <c r="L322" s="34"/>
      <c r="M322" s="34"/>
      <c r="N322" s="34"/>
      <c r="O322" s="34"/>
      <c r="P322" s="34"/>
      <c r="Q322" s="34"/>
      <c r="R322" s="34"/>
      <c r="S322" s="34"/>
      <c r="T322" s="34"/>
      <c r="U322" s="34"/>
      <c r="V322" s="34"/>
      <c r="W322" s="34"/>
      <c r="X322" s="34"/>
      <c r="Y322" s="34"/>
      <c r="Z322" s="34"/>
      <c r="AA322" s="34"/>
      <c r="AB322" s="34"/>
      <c r="AC322" s="34"/>
      <c r="AD322" s="34"/>
      <c r="AE322" s="34"/>
      <c r="AF322" s="34"/>
      <c r="AG322" s="34"/>
      <c r="AH322" s="34"/>
      <c r="AI322" s="34"/>
      <c r="AJ322" s="34"/>
      <c r="AK322" s="34"/>
      <c r="AL322" s="34"/>
      <c r="AM322" s="34"/>
      <c r="AN322" s="34"/>
      <c r="AO322" s="34"/>
      <c r="AP322" s="34"/>
    </row>
    <row r="323" spans="1:42">
      <c r="A323" s="3"/>
      <c r="B323" s="3"/>
      <c r="C323" s="3"/>
      <c r="D323" s="3"/>
      <c r="E323" s="3"/>
      <c r="F323" s="3"/>
      <c r="G323" s="3"/>
      <c r="H323" s="3"/>
      <c r="I323" s="34"/>
      <c r="J323" s="34"/>
      <c r="K323" s="34"/>
      <c r="L323" s="34"/>
      <c r="M323" s="34"/>
      <c r="N323" s="34"/>
      <c r="O323" s="34"/>
      <c r="P323" s="34"/>
      <c r="Q323" s="34"/>
      <c r="R323" s="34"/>
      <c r="S323" s="34"/>
      <c r="T323" s="34"/>
      <c r="U323" s="34"/>
      <c r="V323" s="34"/>
      <c r="W323" s="34"/>
      <c r="X323" s="34"/>
      <c r="Y323" s="34"/>
      <c r="Z323" s="34"/>
      <c r="AA323" s="34"/>
      <c r="AB323" s="34"/>
      <c r="AC323" s="34"/>
      <c r="AD323" s="34"/>
      <c r="AE323" s="34"/>
      <c r="AF323" s="34"/>
      <c r="AG323" s="34"/>
      <c r="AH323" s="34"/>
      <c r="AI323" s="34"/>
      <c r="AJ323" s="34"/>
      <c r="AK323" s="34"/>
      <c r="AL323" s="34"/>
      <c r="AM323" s="34"/>
      <c r="AN323" s="34"/>
      <c r="AO323" s="34"/>
      <c r="AP323" s="34"/>
    </row>
    <row r="324" spans="1:42">
      <c r="A324" s="3"/>
      <c r="B324" s="3"/>
      <c r="C324" s="3"/>
      <c r="D324" s="3"/>
      <c r="E324" s="3"/>
      <c r="F324" s="3"/>
      <c r="G324" s="3"/>
      <c r="H324" s="3"/>
      <c r="I324" s="34"/>
      <c r="J324" s="34"/>
      <c r="K324" s="34"/>
      <c r="L324" s="34"/>
      <c r="M324" s="34"/>
      <c r="N324" s="34"/>
      <c r="O324" s="34"/>
      <c r="P324" s="34"/>
      <c r="Q324" s="34"/>
      <c r="R324" s="34"/>
      <c r="S324" s="34"/>
      <c r="T324" s="34"/>
      <c r="U324" s="34"/>
      <c r="V324" s="34"/>
      <c r="W324" s="34"/>
      <c r="X324" s="34"/>
      <c r="Y324" s="34"/>
      <c r="Z324" s="34"/>
      <c r="AA324" s="34"/>
      <c r="AB324" s="34"/>
      <c r="AC324" s="34"/>
      <c r="AD324" s="34"/>
      <c r="AE324" s="34"/>
      <c r="AF324" s="34"/>
      <c r="AG324" s="34"/>
      <c r="AH324" s="34"/>
      <c r="AI324" s="34"/>
      <c r="AJ324" s="34"/>
      <c r="AK324" s="34"/>
      <c r="AL324" s="34"/>
      <c r="AM324" s="34"/>
      <c r="AN324" s="34"/>
      <c r="AO324" s="34"/>
      <c r="AP324" s="34"/>
    </row>
    <row r="325" spans="1:42">
      <c r="A325" s="3"/>
      <c r="B325" s="3"/>
      <c r="C325" s="3"/>
      <c r="D325" s="3"/>
      <c r="E325" s="3"/>
      <c r="F325" s="3"/>
      <c r="G325" s="3"/>
      <c r="H325" s="3"/>
      <c r="I325" s="34"/>
      <c r="J325" s="34"/>
      <c r="K325" s="34"/>
      <c r="L325" s="34"/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4"/>
      <c r="Y325" s="34"/>
      <c r="Z325" s="34"/>
      <c r="AA325" s="34"/>
      <c r="AB325" s="34"/>
      <c r="AC325" s="34"/>
      <c r="AD325" s="34"/>
      <c r="AE325" s="34"/>
      <c r="AF325" s="34"/>
      <c r="AG325" s="34"/>
      <c r="AH325" s="34"/>
      <c r="AI325" s="34"/>
      <c r="AJ325" s="34"/>
      <c r="AK325" s="34"/>
      <c r="AL325" s="34"/>
      <c r="AM325" s="34"/>
      <c r="AN325" s="34"/>
      <c r="AO325" s="34"/>
      <c r="AP325" s="34"/>
    </row>
    <row r="326" spans="1:42">
      <c r="A326" s="3"/>
      <c r="B326" s="3"/>
      <c r="C326" s="3"/>
      <c r="D326" s="3"/>
      <c r="E326" s="3"/>
      <c r="F326" s="3"/>
      <c r="G326" s="3"/>
      <c r="H326" s="3"/>
      <c r="I326" s="34"/>
      <c r="J326" s="34"/>
      <c r="K326" s="34"/>
      <c r="L326" s="34"/>
      <c r="M326" s="34"/>
      <c r="N326" s="34"/>
      <c r="O326" s="34"/>
      <c r="P326" s="34"/>
      <c r="Q326" s="34"/>
      <c r="R326" s="34"/>
      <c r="S326" s="34"/>
      <c r="T326" s="34"/>
      <c r="U326" s="34"/>
      <c r="V326" s="34"/>
      <c r="W326" s="34"/>
      <c r="X326" s="34"/>
      <c r="Y326" s="34"/>
      <c r="Z326" s="34"/>
      <c r="AA326" s="34"/>
      <c r="AB326" s="34"/>
      <c r="AC326" s="34"/>
      <c r="AD326" s="34"/>
      <c r="AE326" s="34"/>
      <c r="AF326" s="34"/>
      <c r="AG326" s="34"/>
      <c r="AH326" s="34"/>
      <c r="AI326" s="34"/>
      <c r="AJ326" s="34"/>
      <c r="AK326" s="34"/>
      <c r="AL326" s="34"/>
      <c r="AM326" s="34"/>
      <c r="AN326" s="34"/>
      <c r="AO326" s="34"/>
      <c r="AP326" s="34"/>
    </row>
    <row r="327" spans="1:42">
      <c r="A327" s="3"/>
      <c r="B327" s="3"/>
      <c r="C327" s="3"/>
      <c r="D327" s="3"/>
      <c r="E327" s="3"/>
      <c r="F327" s="3"/>
      <c r="G327" s="3"/>
      <c r="H327" s="3"/>
      <c r="I327" s="34"/>
      <c r="J327" s="34"/>
      <c r="K327" s="34"/>
      <c r="L327" s="34"/>
      <c r="M327" s="34"/>
      <c r="N327" s="34"/>
      <c r="O327" s="34"/>
      <c r="P327" s="34"/>
      <c r="Q327" s="34"/>
      <c r="R327" s="34"/>
      <c r="S327" s="34"/>
      <c r="T327" s="34"/>
      <c r="U327" s="34"/>
      <c r="V327" s="34"/>
      <c r="W327" s="34"/>
      <c r="X327" s="34"/>
      <c r="Y327" s="34"/>
      <c r="Z327" s="34"/>
      <c r="AA327" s="34"/>
      <c r="AB327" s="34"/>
      <c r="AC327" s="34"/>
      <c r="AD327" s="34"/>
      <c r="AE327" s="34"/>
      <c r="AF327" s="34"/>
      <c r="AG327" s="34"/>
      <c r="AH327" s="34"/>
      <c r="AI327" s="34"/>
      <c r="AJ327" s="34"/>
      <c r="AK327" s="34"/>
      <c r="AL327" s="34"/>
      <c r="AM327" s="34"/>
      <c r="AN327" s="34"/>
      <c r="AO327" s="34"/>
      <c r="AP327" s="34"/>
    </row>
    <row r="328" spans="1:42">
      <c r="A328" s="3"/>
      <c r="B328" s="3"/>
      <c r="C328" s="3"/>
      <c r="D328" s="3"/>
      <c r="E328" s="3"/>
      <c r="F328" s="3"/>
      <c r="G328" s="3"/>
      <c r="H328" s="3"/>
      <c r="I328" s="34"/>
      <c r="J328" s="34"/>
      <c r="K328" s="34"/>
      <c r="L328" s="34"/>
      <c r="M328" s="34"/>
      <c r="N328" s="34"/>
      <c r="O328" s="34"/>
      <c r="P328" s="34"/>
      <c r="Q328" s="34"/>
      <c r="R328" s="34"/>
      <c r="S328" s="34"/>
      <c r="T328" s="34"/>
      <c r="U328" s="34"/>
      <c r="V328" s="34"/>
      <c r="W328" s="34"/>
      <c r="X328" s="34"/>
      <c r="Y328" s="34"/>
      <c r="Z328" s="34"/>
      <c r="AA328" s="34"/>
      <c r="AB328" s="34"/>
      <c r="AC328" s="34"/>
      <c r="AD328" s="34"/>
      <c r="AE328" s="34"/>
      <c r="AF328" s="34"/>
      <c r="AG328" s="34"/>
      <c r="AH328" s="34"/>
      <c r="AI328" s="34"/>
      <c r="AJ328" s="34"/>
      <c r="AK328" s="34"/>
      <c r="AL328" s="34"/>
      <c r="AM328" s="34"/>
      <c r="AN328" s="34"/>
      <c r="AO328" s="34"/>
      <c r="AP328" s="34"/>
    </row>
    <row r="329" spans="1:42">
      <c r="A329" s="3"/>
      <c r="B329" s="3"/>
      <c r="C329" s="3"/>
      <c r="D329" s="3"/>
      <c r="E329" s="3"/>
      <c r="F329" s="3"/>
      <c r="G329" s="3"/>
      <c r="H329" s="3"/>
      <c r="I329" s="34"/>
      <c r="J329" s="34"/>
      <c r="K329" s="34"/>
      <c r="L329" s="34"/>
      <c r="M329" s="34"/>
      <c r="N329" s="34"/>
      <c r="O329" s="34"/>
      <c r="P329" s="34"/>
      <c r="Q329" s="34"/>
      <c r="R329" s="34"/>
      <c r="S329" s="34"/>
      <c r="T329" s="34"/>
      <c r="U329" s="34"/>
      <c r="V329" s="34"/>
      <c r="W329" s="34"/>
      <c r="X329" s="34"/>
      <c r="Y329" s="34"/>
      <c r="Z329" s="34"/>
      <c r="AA329" s="34"/>
      <c r="AB329" s="34"/>
      <c r="AC329" s="34"/>
      <c r="AD329" s="34"/>
      <c r="AE329" s="34"/>
      <c r="AF329" s="34"/>
      <c r="AG329" s="34"/>
      <c r="AH329" s="34"/>
      <c r="AI329" s="34"/>
      <c r="AJ329" s="34"/>
      <c r="AK329" s="34"/>
      <c r="AL329" s="34"/>
      <c r="AM329" s="34"/>
      <c r="AN329" s="34"/>
      <c r="AO329" s="34"/>
      <c r="AP329" s="34"/>
    </row>
    <row r="330" spans="1:42">
      <c r="A330" s="3"/>
      <c r="B330" s="3"/>
      <c r="C330" s="3"/>
      <c r="D330" s="3"/>
      <c r="E330" s="3"/>
      <c r="F330" s="3"/>
      <c r="G330" s="3"/>
      <c r="H330" s="3"/>
      <c r="I330" s="34"/>
      <c r="J330" s="34"/>
      <c r="K330" s="34"/>
      <c r="L330" s="34"/>
      <c r="M330" s="34"/>
      <c r="N330" s="34"/>
      <c r="O330" s="34"/>
      <c r="P330" s="34"/>
      <c r="Q330" s="34"/>
      <c r="R330" s="34"/>
      <c r="S330" s="34"/>
      <c r="T330" s="34"/>
      <c r="U330" s="34"/>
      <c r="V330" s="34"/>
      <c r="W330" s="34"/>
      <c r="X330" s="34"/>
      <c r="Y330" s="34"/>
      <c r="Z330" s="34"/>
      <c r="AA330" s="34"/>
      <c r="AB330" s="34"/>
      <c r="AC330" s="34"/>
      <c r="AD330" s="34"/>
      <c r="AE330" s="34"/>
      <c r="AF330" s="34"/>
      <c r="AG330" s="34"/>
      <c r="AH330" s="34"/>
      <c r="AI330" s="34"/>
      <c r="AJ330" s="34"/>
      <c r="AK330" s="34"/>
      <c r="AL330" s="34"/>
      <c r="AM330" s="34"/>
      <c r="AN330" s="34"/>
      <c r="AO330" s="34"/>
      <c r="AP330" s="34"/>
    </row>
    <row r="331" spans="1:42">
      <c r="A331" s="3"/>
      <c r="B331" s="3"/>
      <c r="C331" s="3"/>
      <c r="D331" s="3"/>
      <c r="E331" s="3"/>
      <c r="F331" s="3"/>
      <c r="G331" s="3"/>
      <c r="H331" s="3"/>
      <c r="I331" s="34"/>
      <c r="J331" s="34"/>
      <c r="K331" s="34"/>
      <c r="L331" s="34"/>
      <c r="M331" s="34"/>
      <c r="N331" s="34"/>
      <c r="O331" s="34"/>
      <c r="P331" s="34"/>
      <c r="Q331" s="34"/>
      <c r="R331" s="34"/>
      <c r="S331" s="34"/>
      <c r="T331" s="34"/>
      <c r="U331" s="34"/>
      <c r="V331" s="34"/>
      <c r="W331" s="34"/>
      <c r="X331" s="34"/>
      <c r="Y331" s="34"/>
      <c r="Z331" s="34"/>
      <c r="AA331" s="34"/>
      <c r="AB331" s="34"/>
      <c r="AC331" s="34"/>
      <c r="AD331" s="34"/>
      <c r="AE331" s="34"/>
      <c r="AF331" s="34"/>
      <c r="AG331" s="34"/>
      <c r="AH331" s="34"/>
      <c r="AI331" s="34"/>
      <c r="AJ331" s="34"/>
      <c r="AK331" s="34"/>
      <c r="AL331" s="34"/>
      <c r="AM331" s="34"/>
      <c r="AN331" s="34"/>
      <c r="AO331" s="34"/>
      <c r="AP331" s="34"/>
    </row>
    <row r="332" spans="1:42">
      <c r="A332" s="3"/>
      <c r="B332" s="3"/>
      <c r="C332" s="3"/>
      <c r="D332" s="3"/>
      <c r="E332" s="3"/>
      <c r="F332" s="3"/>
      <c r="G332" s="3"/>
      <c r="H332" s="3"/>
      <c r="I332" s="34"/>
      <c r="J332" s="34"/>
      <c r="K332" s="34"/>
      <c r="L332" s="34"/>
      <c r="M332" s="34"/>
      <c r="N332" s="34"/>
      <c r="O332" s="34"/>
      <c r="P332" s="34"/>
      <c r="Q332" s="34"/>
      <c r="R332" s="34"/>
      <c r="S332" s="34"/>
      <c r="T332" s="34"/>
      <c r="U332" s="34"/>
      <c r="V332" s="34"/>
      <c r="W332" s="34"/>
      <c r="X332" s="34"/>
      <c r="Y332" s="34"/>
      <c r="Z332" s="34"/>
      <c r="AA332" s="34"/>
      <c r="AB332" s="34"/>
      <c r="AC332" s="34"/>
      <c r="AD332" s="34"/>
      <c r="AE332" s="34"/>
      <c r="AF332" s="34"/>
      <c r="AG332" s="34"/>
      <c r="AH332" s="34"/>
      <c r="AI332" s="34"/>
      <c r="AJ332" s="34"/>
      <c r="AK332" s="34"/>
      <c r="AL332" s="34"/>
      <c r="AM332" s="34"/>
      <c r="AN332" s="34"/>
      <c r="AO332" s="34"/>
      <c r="AP332" s="34"/>
    </row>
    <row r="333" spans="1:42">
      <c r="A333" s="3"/>
      <c r="B333" s="3"/>
      <c r="C333" s="3"/>
      <c r="D333" s="3"/>
      <c r="E333" s="3"/>
      <c r="F333" s="3"/>
      <c r="G333" s="3"/>
      <c r="H333" s="3"/>
      <c r="I333" s="34"/>
      <c r="J333" s="34"/>
      <c r="K333" s="34"/>
      <c r="L333" s="34"/>
      <c r="M333" s="34"/>
      <c r="N333" s="34"/>
      <c r="O333" s="34"/>
      <c r="P333" s="34"/>
      <c r="Q333" s="34"/>
      <c r="R333" s="34"/>
      <c r="S333" s="34"/>
      <c r="T333" s="34"/>
      <c r="U333" s="34"/>
      <c r="V333" s="34"/>
      <c r="W333" s="34"/>
      <c r="X333" s="34"/>
      <c r="Y333" s="34"/>
      <c r="Z333" s="34"/>
      <c r="AA333" s="34"/>
      <c r="AB333" s="34"/>
      <c r="AC333" s="34"/>
      <c r="AD333" s="34"/>
      <c r="AE333" s="34"/>
      <c r="AF333" s="34"/>
      <c r="AG333" s="34"/>
      <c r="AH333" s="34"/>
      <c r="AI333" s="34"/>
      <c r="AJ333" s="34"/>
      <c r="AK333" s="34"/>
      <c r="AL333" s="34"/>
      <c r="AM333" s="34"/>
      <c r="AN333" s="34"/>
      <c r="AO333" s="34"/>
      <c r="AP333" s="34"/>
    </row>
    <row r="334" spans="1:42">
      <c r="A334" s="3"/>
      <c r="B334" s="3"/>
      <c r="C334" s="3"/>
      <c r="D334" s="3"/>
      <c r="E334" s="3"/>
      <c r="F334" s="3"/>
      <c r="G334" s="3"/>
      <c r="H334" s="3"/>
      <c r="I334" s="34"/>
      <c r="J334" s="34"/>
      <c r="K334" s="34"/>
      <c r="L334" s="34"/>
      <c r="M334" s="34"/>
      <c r="N334" s="34"/>
      <c r="O334" s="34"/>
      <c r="P334" s="34"/>
      <c r="Q334" s="34"/>
      <c r="R334" s="34"/>
      <c r="S334" s="34"/>
      <c r="T334" s="34"/>
      <c r="U334" s="34"/>
      <c r="V334" s="34"/>
      <c r="W334" s="34"/>
      <c r="X334" s="34"/>
      <c r="Y334" s="34"/>
      <c r="Z334" s="34"/>
      <c r="AA334" s="34"/>
      <c r="AB334" s="34"/>
      <c r="AC334" s="34"/>
      <c r="AD334" s="34"/>
      <c r="AE334" s="34"/>
      <c r="AF334" s="34"/>
      <c r="AG334" s="34"/>
      <c r="AH334" s="34"/>
      <c r="AI334" s="34"/>
      <c r="AJ334" s="34"/>
      <c r="AK334" s="34"/>
      <c r="AL334" s="34"/>
      <c r="AM334" s="34"/>
      <c r="AN334" s="34"/>
      <c r="AO334" s="34"/>
      <c r="AP334" s="34"/>
    </row>
    <row r="335" spans="1:42">
      <c r="A335" s="3"/>
      <c r="B335" s="3"/>
      <c r="C335" s="3"/>
      <c r="D335" s="3"/>
      <c r="E335" s="3"/>
      <c r="F335" s="3"/>
      <c r="G335" s="3"/>
      <c r="H335" s="3"/>
      <c r="I335" s="34"/>
      <c r="J335" s="34"/>
      <c r="K335" s="34"/>
      <c r="L335" s="34"/>
      <c r="M335" s="34"/>
      <c r="N335" s="34"/>
      <c r="O335" s="34"/>
      <c r="P335" s="34"/>
      <c r="Q335" s="34"/>
      <c r="R335" s="34"/>
      <c r="S335" s="34"/>
      <c r="T335" s="34"/>
      <c r="U335" s="34"/>
      <c r="V335" s="34"/>
      <c r="W335" s="34"/>
      <c r="X335" s="34"/>
      <c r="Y335" s="34"/>
      <c r="Z335" s="34"/>
      <c r="AA335" s="34"/>
      <c r="AB335" s="34"/>
      <c r="AC335" s="34"/>
      <c r="AD335" s="34"/>
      <c r="AE335" s="34"/>
      <c r="AF335" s="34"/>
      <c r="AG335" s="34"/>
      <c r="AH335" s="34"/>
      <c r="AI335" s="34"/>
      <c r="AJ335" s="34"/>
      <c r="AK335" s="34"/>
      <c r="AL335" s="34"/>
      <c r="AM335" s="34"/>
      <c r="AN335" s="34"/>
      <c r="AO335" s="34"/>
      <c r="AP335" s="34"/>
    </row>
    <row r="336" spans="1:42">
      <c r="A336" s="3"/>
      <c r="B336" s="3"/>
      <c r="C336" s="3"/>
      <c r="D336" s="3"/>
      <c r="E336" s="3"/>
      <c r="F336" s="3"/>
      <c r="G336" s="3"/>
      <c r="H336" s="3"/>
      <c r="I336" s="34"/>
      <c r="J336" s="34"/>
      <c r="K336" s="34"/>
      <c r="L336" s="34"/>
      <c r="M336" s="34"/>
      <c r="N336" s="34"/>
      <c r="O336" s="34"/>
      <c r="P336" s="34"/>
      <c r="Q336" s="34"/>
      <c r="R336" s="34"/>
      <c r="S336" s="34"/>
      <c r="T336" s="34"/>
      <c r="U336" s="34"/>
      <c r="V336" s="34"/>
      <c r="W336" s="34"/>
      <c r="X336" s="34"/>
      <c r="Y336" s="34"/>
      <c r="Z336" s="34"/>
      <c r="AA336" s="34"/>
      <c r="AB336" s="34"/>
      <c r="AC336" s="34"/>
      <c r="AD336" s="34"/>
      <c r="AE336" s="34"/>
      <c r="AF336" s="34"/>
      <c r="AG336" s="34"/>
      <c r="AH336" s="34"/>
      <c r="AI336" s="34"/>
      <c r="AJ336" s="34"/>
      <c r="AK336" s="34"/>
      <c r="AL336" s="34"/>
      <c r="AM336" s="34"/>
      <c r="AN336" s="34"/>
      <c r="AO336" s="34"/>
      <c r="AP336" s="34"/>
    </row>
    <row r="337" spans="1:42">
      <c r="A337" s="3"/>
      <c r="B337" s="3"/>
      <c r="C337" s="3"/>
      <c r="D337" s="3"/>
      <c r="E337" s="3"/>
      <c r="F337" s="3"/>
      <c r="G337" s="3"/>
      <c r="H337" s="3"/>
      <c r="I337" s="34"/>
      <c r="J337" s="34"/>
      <c r="K337" s="34"/>
      <c r="L337" s="34"/>
      <c r="M337" s="34"/>
      <c r="N337" s="34"/>
      <c r="O337" s="34"/>
      <c r="P337" s="34"/>
      <c r="Q337" s="34"/>
      <c r="R337" s="34"/>
      <c r="S337" s="34"/>
      <c r="T337" s="34"/>
      <c r="U337" s="34"/>
      <c r="V337" s="34"/>
      <c r="W337" s="34"/>
      <c r="X337" s="34"/>
      <c r="Y337" s="34"/>
      <c r="Z337" s="34"/>
      <c r="AA337" s="34"/>
      <c r="AB337" s="34"/>
      <c r="AC337" s="34"/>
      <c r="AD337" s="34"/>
      <c r="AE337" s="34"/>
      <c r="AF337" s="34"/>
      <c r="AG337" s="34"/>
      <c r="AH337" s="34"/>
      <c r="AI337" s="34"/>
      <c r="AJ337" s="34"/>
      <c r="AK337" s="34"/>
      <c r="AL337" s="34"/>
      <c r="AM337" s="34"/>
      <c r="AN337" s="34"/>
      <c r="AO337" s="34"/>
      <c r="AP337" s="34"/>
    </row>
    <row r="338" spans="1:42">
      <c r="A338" s="3"/>
      <c r="B338" s="3"/>
      <c r="C338" s="3"/>
      <c r="D338" s="3"/>
      <c r="E338" s="3"/>
      <c r="F338" s="3"/>
      <c r="G338" s="3"/>
      <c r="H338" s="3"/>
      <c r="I338" s="34"/>
      <c r="J338" s="34"/>
      <c r="K338" s="34"/>
      <c r="L338" s="34"/>
      <c r="M338" s="34"/>
      <c r="N338" s="34"/>
      <c r="O338" s="34"/>
      <c r="P338" s="34"/>
      <c r="Q338" s="34"/>
      <c r="R338" s="34"/>
      <c r="S338" s="34"/>
      <c r="T338" s="34"/>
      <c r="U338" s="34"/>
      <c r="V338" s="34"/>
      <c r="W338" s="34"/>
      <c r="X338" s="34"/>
      <c r="Y338" s="34"/>
      <c r="Z338" s="34"/>
      <c r="AA338" s="34"/>
      <c r="AB338" s="34"/>
      <c r="AC338" s="34"/>
      <c r="AD338" s="34"/>
      <c r="AE338" s="34"/>
      <c r="AF338" s="34"/>
      <c r="AG338" s="34"/>
      <c r="AH338" s="34"/>
      <c r="AI338" s="34"/>
      <c r="AJ338" s="34"/>
      <c r="AK338" s="34"/>
      <c r="AL338" s="34"/>
      <c r="AM338" s="34"/>
      <c r="AN338" s="34"/>
      <c r="AO338" s="34"/>
      <c r="AP338" s="34"/>
    </row>
    <row r="339" spans="1:42">
      <c r="A339" s="3"/>
      <c r="B339" s="3"/>
      <c r="C339" s="3"/>
      <c r="D339" s="3"/>
      <c r="E339" s="3"/>
      <c r="F339" s="3"/>
      <c r="G339" s="3"/>
      <c r="H339" s="3"/>
      <c r="I339" s="34"/>
      <c r="J339" s="34"/>
      <c r="K339" s="34"/>
      <c r="L339" s="34"/>
      <c r="M339" s="34"/>
      <c r="N339" s="34"/>
      <c r="O339" s="34"/>
      <c r="P339" s="34"/>
      <c r="Q339" s="34"/>
      <c r="R339" s="34"/>
      <c r="S339" s="34"/>
      <c r="T339" s="34"/>
      <c r="U339" s="34"/>
      <c r="V339" s="34"/>
      <c r="W339" s="34"/>
      <c r="X339" s="34"/>
      <c r="Y339" s="34"/>
      <c r="Z339" s="34"/>
      <c r="AA339" s="34"/>
      <c r="AB339" s="34"/>
      <c r="AC339" s="34"/>
      <c r="AD339" s="34"/>
      <c r="AE339" s="34"/>
      <c r="AF339" s="34"/>
      <c r="AG339" s="34"/>
      <c r="AH339" s="34"/>
      <c r="AI339" s="34"/>
      <c r="AJ339" s="34"/>
      <c r="AK339" s="34"/>
      <c r="AL339" s="34"/>
      <c r="AM339" s="34"/>
      <c r="AN339" s="34"/>
      <c r="AO339" s="34"/>
      <c r="AP339" s="34"/>
    </row>
    <row r="340" spans="1:42">
      <c r="A340" s="3"/>
      <c r="B340" s="3"/>
      <c r="C340" s="3"/>
      <c r="D340" s="3"/>
      <c r="E340" s="3"/>
      <c r="F340" s="3"/>
      <c r="G340" s="3"/>
      <c r="H340" s="3"/>
      <c r="I340" s="34"/>
      <c r="J340" s="34"/>
      <c r="K340" s="34"/>
      <c r="L340" s="34"/>
      <c r="M340" s="34"/>
      <c r="N340" s="34"/>
      <c r="O340" s="34"/>
      <c r="P340" s="34"/>
      <c r="Q340" s="34"/>
      <c r="R340" s="34"/>
      <c r="S340" s="34"/>
      <c r="T340" s="34"/>
      <c r="U340" s="34"/>
      <c r="V340" s="34"/>
      <c r="W340" s="34"/>
      <c r="X340" s="34"/>
      <c r="Y340" s="34"/>
      <c r="Z340" s="34"/>
      <c r="AA340" s="34"/>
      <c r="AB340" s="34"/>
      <c r="AC340" s="34"/>
      <c r="AD340" s="34"/>
      <c r="AE340" s="34"/>
      <c r="AF340" s="34"/>
      <c r="AG340" s="34"/>
      <c r="AH340" s="34"/>
      <c r="AI340" s="34"/>
      <c r="AJ340" s="34"/>
      <c r="AK340" s="34"/>
      <c r="AL340" s="34"/>
      <c r="AM340" s="34"/>
      <c r="AN340" s="34"/>
      <c r="AO340" s="34"/>
      <c r="AP340" s="34"/>
    </row>
    <row r="341" spans="1:42">
      <c r="A341" s="3"/>
      <c r="B341" s="3"/>
      <c r="C341" s="3"/>
      <c r="D341" s="3"/>
      <c r="E341" s="3"/>
      <c r="F341" s="3"/>
      <c r="G341" s="3"/>
      <c r="H341" s="3"/>
      <c r="I341" s="34"/>
      <c r="J341" s="34"/>
      <c r="K341" s="34"/>
      <c r="L341" s="34"/>
      <c r="M341" s="34"/>
      <c r="N341" s="34"/>
      <c r="O341" s="34"/>
      <c r="P341" s="34"/>
      <c r="Q341" s="34"/>
      <c r="R341" s="34"/>
      <c r="S341" s="34"/>
      <c r="T341" s="34"/>
      <c r="U341" s="34"/>
      <c r="V341" s="34"/>
      <c r="W341" s="34"/>
      <c r="X341" s="34"/>
      <c r="Y341" s="34"/>
      <c r="Z341" s="34"/>
      <c r="AA341" s="34"/>
      <c r="AB341" s="34"/>
      <c r="AC341" s="34"/>
      <c r="AD341" s="34"/>
      <c r="AE341" s="34"/>
      <c r="AF341" s="34"/>
      <c r="AG341" s="34"/>
      <c r="AH341" s="34"/>
      <c r="AI341" s="34"/>
      <c r="AJ341" s="34"/>
      <c r="AK341" s="34"/>
      <c r="AL341" s="34"/>
      <c r="AM341" s="34"/>
      <c r="AN341" s="34"/>
      <c r="AO341" s="34"/>
      <c r="AP341" s="34"/>
    </row>
    <row r="342" spans="1:42">
      <c r="A342" s="3"/>
      <c r="B342" s="3"/>
      <c r="C342" s="3"/>
      <c r="D342" s="3"/>
      <c r="E342" s="3"/>
      <c r="F342" s="3"/>
      <c r="G342" s="3"/>
      <c r="H342" s="3"/>
      <c r="I342" s="34"/>
      <c r="J342" s="34"/>
      <c r="K342" s="34"/>
      <c r="L342" s="34"/>
      <c r="M342" s="34"/>
      <c r="N342" s="34"/>
      <c r="O342" s="34"/>
      <c r="P342" s="34"/>
      <c r="Q342" s="34"/>
      <c r="R342" s="34"/>
      <c r="S342" s="34"/>
      <c r="T342" s="34"/>
      <c r="U342" s="34"/>
      <c r="V342" s="34"/>
      <c r="W342" s="34"/>
      <c r="X342" s="34"/>
      <c r="Y342" s="34"/>
      <c r="Z342" s="34"/>
      <c r="AA342" s="34"/>
      <c r="AB342" s="34"/>
      <c r="AC342" s="34"/>
      <c r="AD342" s="34"/>
      <c r="AE342" s="34"/>
      <c r="AF342" s="34"/>
      <c r="AG342" s="34"/>
      <c r="AH342" s="34"/>
      <c r="AI342" s="34"/>
      <c r="AJ342" s="34"/>
      <c r="AK342" s="34"/>
      <c r="AL342" s="34"/>
      <c r="AM342" s="34"/>
      <c r="AN342" s="34"/>
      <c r="AO342" s="34"/>
      <c r="AP342" s="34"/>
    </row>
    <row r="343" spans="1:42">
      <c r="A343" s="3"/>
      <c r="B343" s="3"/>
      <c r="C343" s="3"/>
      <c r="D343" s="3"/>
      <c r="E343" s="3"/>
      <c r="F343" s="3"/>
      <c r="G343" s="3"/>
      <c r="H343" s="3"/>
      <c r="I343" s="34"/>
      <c r="J343" s="34"/>
      <c r="K343" s="34"/>
      <c r="L343" s="34"/>
      <c r="M343" s="34"/>
      <c r="N343" s="34"/>
      <c r="O343" s="34"/>
      <c r="P343" s="34"/>
      <c r="Q343" s="34"/>
      <c r="R343" s="34"/>
      <c r="S343" s="34"/>
      <c r="T343" s="34"/>
      <c r="U343" s="34"/>
      <c r="V343" s="34"/>
      <c r="W343" s="34"/>
      <c r="X343" s="34"/>
      <c r="Y343" s="34"/>
      <c r="Z343" s="34"/>
      <c r="AA343" s="34"/>
      <c r="AB343" s="34"/>
      <c r="AC343" s="34"/>
      <c r="AD343" s="34"/>
      <c r="AE343" s="34"/>
      <c r="AF343" s="34"/>
      <c r="AG343" s="34"/>
      <c r="AH343" s="34"/>
      <c r="AI343" s="34"/>
      <c r="AJ343" s="34"/>
      <c r="AK343" s="34"/>
      <c r="AL343" s="34"/>
      <c r="AM343" s="34"/>
      <c r="AN343" s="34"/>
      <c r="AO343" s="34"/>
      <c r="AP343" s="34"/>
    </row>
    <row r="344" spans="1:42">
      <c r="A344" s="3"/>
      <c r="B344" s="3"/>
      <c r="C344" s="3"/>
      <c r="D344" s="3"/>
      <c r="E344" s="3"/>
      <c r="F344" s="3"/>
      <c r="G344" s="3"/>
      <c r="H344" s="3"/>
      <c r="I344" s="34"/>
      <c r="J344" s="34"/>
      <c r="K344" s="34"/>
      <c r="L344" s="34"/>
      <c r="M344" s="34"/>
      <c r="N344" s="34"/>
      <c r="O344" s="34"/>
      <c r="P344" s="34"/>
      <c r="Q344" s="34"/>
      <c r="R344" s="34"/>
      <c r="S344" s="34"/>
      <c r="T344" s="34"/>
      <c r="U344" s="34"/>
      <c r="V344" s="34"/>
      <c r="W344" s="34"/>
      <c r="X344" s="34"/>
      <c r="Y344" s="34"/>
      <c r="Z344" s="34"/>
      <c r="AA344" s="34"/>
      <c r="AB344" s="34"/>
      <c r="AC344" s="34"/>
      <c r="AD344" s="34"/>
      <c r="AE344" s="34"/>
      <c r="AF344" s="34"/>
      <c r="AG344" s="34"/>
      <c r="AH344" s="34"/>
      <c r="AI344" s="34"/>
      <c r="AJ344" s="34"/>
      <c r="AK344" s="34"/>
      <c r="AL344" s="34"/>
      <c r="AM344" s="34"/>
      <c r="AN344" s="34"/>
      <c r="AO344" s="34"/>
      <c r="AP344" s="34"/>
    </row>
    <row r="345" spans="1:42">
      <c r="A345" s="3"/>
      <c r="B345" s="3"/>
      <c r="C345" s="3"/>
      <c r="D345" s="3"/>
      <c r="E345" s="3"/>
      <c r="F345" s="3"/>
      <c r="G345" s="3"/>
      <c r="H345" s="3"/>
      <c r="I345" s="34"/>
      <c r="J345" s="34"/>
      <c r="K345" s="34"/>
      <c r="L345" s="34"/>
      <c r="M345" s="34"/>
      <c r="N345" s="34"/>
      <c r="O345" s="34"/>
      <c r="P345" s="34"/>
      <c r="Q345" s="34"/>
      <c r="R345" s="34"/>
      <c r="S345" s="34"/>
      <c r="T345" s="34"/>
      <c r="U345" s="34"/>
      <c r="V345" s="34"/>
      <c r="W345" s="34"/>
      <c r="X345" s="34"/>
      <c r="Y345" s="34"/>
      <c r="Z345" s="34"/>
      <c r="AA345" s="34"/>
      <c r="AB345" s="34"/>
      <c r="AC345" s="34"/>
      <c r="AD345" s="34"/>
      <c r="AE345" s="34"/>
      <c r="AF345" s="34"/>
      <c r="AG345" s="34"/>
      <c r="AH345" s="34"/>
      <c r="AI345" s="34"/>
      <c r="AJ345" s="34"/>
      <c r="AK345" s="34"/>
      <c r="AL345" s="34"/>
      <c r="AM345" s="34"/>
      <c r="AN345" s="34"/>
      <c r="AO345" s="34"/>
      <c r="AP345" s="34"/>
    </row>
    <row r="346" spans="1:42">
      <c r="A346" s="3"/>
      <c r="B346" s="3"/>
      <c r="C346" s="3"/>
      <c r="D346" s="3"/>
      <c r="E346" s="3"/>
      <c r="F346" s="3"/>
      <c r="G346" s="3"/>
      <c r="H346" s="3"/>
      <c r="I346" s="34"/>
      <c r="J346" s="34"/>
      <c r="K346" s="34"/>
      <c r="L346" s="34"/>
      <c r="M346" s="34"/>
      <c r="N346" s="34"/>
      <c r="O346" s="34"/>
      <c r="P346" s="34"/>
      <c r="Q346" s="34"/>
      <c r="R346" s="34"/>
      <c r="S346" s="34"/>
      <c r="T346" s="34"/>
      <c r="U346" s="34"/>
      <c r="V346" s="34"/>
      <c r="W346" s="34"/>
      <c r="X346" s="34"/>
      <c r="Y346" s="34"/>
      <c r="Z346" s="34"/>
      <c r="AA346" s="34"/>
      <c r="AB346" s="34"/>
      <c r="AC346" s="34"/>
      <c r="AD346" s="34"/>
      <c r="AE346" s="34"/>
      <c r="AF346" s="34"/>
      <c r="AG346" s="34"/>
      <c r="AH346" s="34"/>
      <c r="AI346" s="34"/>
      <c r="AJ346" s="34"/>
      <c r="AK346" s="34"/>
      <c r="AL346" s="34"/>
      <c r="AM346" s="34"/>
      <c r="AN346" s="34"/>
      <c r="AO346" s="34"/>
      <c r="AP346" s="34"/>
    </row>
    <row r="347" spans="1:42">
      <c r="A347" s="3"/>
      <c r="B347" s="3"/>
      <c r="C347" s="3"/>
      <c r="D347" s="3"/>
      <c r="E347" s="3"/>
      <c r="F347" s="3"/>
      <c r="G347" s="3"/>
      <c r="H347" s="3"/>
      <c r="I347" s="34"/>
      <c r="J347" s="34"/>
      <c r="K347" s="34"/>
      <c r="L347" s="34"/>
      <c r="M347" s="34"/>
      <c r="N347" s="34"/>
      <c r="O347" s="34"/>
      <c r="P347" s="34"/>
      <c r="Q347" s="34"/>
      <c r="R347" s="34"/>
      <c r="S347" s="34"/>
      <c r="T347" s="34"/>
      <c r="U347" s="34"/>
      <c r="V347" s="34"/>
      <c r="W347" s="34"/>
      <c r="X347" s="34"/>
      <c r="Y347" s="34"/>
      <c r="Z347" s="34"/>
      <c r="AA347" s="34"/>
      <c r="AB347" s="34"/>
      <c r="AC347" s="34"/>
      <c r="AD347" s="34"/>
      <c r="AE347" s="34"/>
      <c r="AF347" s="34"/>
      <c r="AG347" s="34"/>
      <c r="AH347" s="34"/>
      <c r="AI347" s="34"/>
      <c r="AJ347" s="34"/>
      <c r="AK347" s="34"/>
      <c r="AL347" s="34"/>
      <c r="AM347" s="34"/>
      <c r="AN347" s="34"/>
      <c r="AO347" s="34"/>
      <c r="AP347" s="34"/>
    </row>
    <row r="348" spans="1:42">
      <c r="A348" s="3"/>
      <c r="B348" s="3"/>
      <c r="C348" s="3"/>
      <c r="D348" s="3"/>
      <c r="E348" s="3"/>
      <c r="F348" s="3"/>
      <c r="G348" s="3"/>
      <c r="H348" s="3"/>
      <c r="I348" s="34"/>
      <c r="J348" s="34"/>
      <c r="K348" s="34"/>
      <c r="L348" s="34"/>
      <c r="M348" s="34"/>
      <c r="N348" s="34"/>
      <c r="O348" s="34"/>
      <c r="P348" s="34"/>
      <c r="Q348" s="34"/>
      <c r="R348" s="34"/>
      <c r="S348" s="34"/>
      <c r="T348" s="34"/>
      <c r="U348" s="34"/>
      <c r="V348" s="34"/>
      <c r="W348" s="34"/>
      <c r="X348" s="34"/>
      <c r="Y348" s="34"/>
      <c r="Z348" s="34"/>
      <c r="AA348" s="34"/>
      <c r="AB348" s="34"/>
      <c r="AC348" s="34"/>
      <c r="AD348" s="34"/>
      <c r="AE348" s="34"/>
      <c r="AF348" s="34"/>
      <c r="AG348" s="34"/>
      <c r="AH348" s="34"/>
      <c r="AI348" s="34"/>
      <c r="AJ348" s="34"/>
      <c r="AK348" s="34"/>
      <c r="AL348" s="34"/>
      <c r="AM348" s="34"/>
      <c r="AN348" s="34"/>
      <c r="AO348" s="34"/>
      <c r="AP348" s="34"/>
    </row>
    <row r="349" spans="1:42">
      <c r="A349" s="3"/>
      <c r="B349" s="3"/>
      <c r="C349" s="3"/>
      <c r="D349" s="3"/>
      <c r="E349" s="3"/>
      <c r="F349" s="3"/>
      <c r="G349" s="3"/>
      <c r="H349" s="3"/>
      <c r="I349" s="34"/>
      <c r="J349" s="34"/>
      <c r="K349" s="34"/>
      <c r="L349" s="34"/>
      <c r="M349" s="34"/>
      <c r="N349" s="34"/>
      <c r="O349" s="34"/>
      <c r="P349" s="34"/>
      <c r="Q349" s="34"/>
      <c r="R349" s="34"/>
      <c r="S349" s="34"/>
      <c r="T349" s="34"/>
      <c r="U349" s="34"/>
      <c r="V349" s="34"/>
      <c r="W349" s="34"/>
      <c r="X349" s="34"/>
      <c r="Y349" s="34"/>
      <c r="Z349" s="34"/>
      <c r="AA349" s="34"/>
      <c r="AB349" s="34"/>
      <c r="AC349" s="34"/>
      <c r="AD349" s="34"/>
      <c r="AE349" s="34"/>
      <c r="AF349" s="34"/>
      <c r="AG349" s="34"/>
      <c r="AH349" s="34"/>
      <c r="AI349" s="34"/>
      <c r="AJ349" s="34"/>
      <c r="AK349" s="34"/>
      <c r="AL349" s="34"/>
      <c r="AM349" s="34"/>
      <c r="AN349" s="34"/>
      <c r="AO349" s="34"/>
      <c r="AP349" s="34"/>
    </row>
    <row r="350" spans="1:42">
      <c r="A350" s="3"/>
      <c r="B350" s="3"/>
      <c r="C350" s="3"/>
      <c r="D350" s="3"/>
      <c r="E350" s="3"/>
      <c r="F350" s="3"/>
      <c r="G350" s="3"/>
      <c r="H350" s="3"/>
      <c r="I350" s="34"/>
      <c r="J350" s="34"/>
      <c r="K350" s="34"/>
      <c r="L350" s="34"/>
      <c r="M350" s="34"/>
      <c r="N350" s="34"/>
      <c r="O350" s="34"/>
      <c r="P350" s="34"/>
      <c r="Q350" s="34"/>
      <c r="R350" s="34"/>
      <c r="S350" s="34"/>
      <c r="T350" s="34"/>
      <c r="U350" s="34"/>
      <c r="V350" s="34"/>
      <c r="W350" s="34"/>
      <c r="X350" s="34"/>
      <c r="Y350" s="34"/>
      <c r="Z350" s="34"/>
      <c r="AA350" s="34"/>
      <c r="AB350" s="34"/>
      <c r="AC350" s="34"/>
      <c r="AD350" s="34"/>
      <c r="AE350" s="34"/>
      <c r="AF350" s="34"/>
      <c r="AG350" s="34"/>
      <c r="AH350" s="34"/>
      <c r="AI350" s="34"/>
      <c r="AJ350" s="34"/>
      <c r="AK350" s="34"/>
      <c r="AL350" s="34"/>
      <c r="AM350" s="34"/>
      <c r="AN350" s="34"/>
      <c r="AO350" s="34"/>
      <c r="AP350" s="34"/>
    </row>
    <row r="351" spans="1:42">
      <c r="A351" s="3"/>
      <c r="B351" s="3"/>
      <c r="C351" s="3"/>
      <c r="D351" s="3"/>
      <c r="E351" s="3"/>
      <c r="F351" s="3"/>
      <c r="G351" s="3"/>
      <c r="H351" s="3"/>
      <c r="I351" s="34"/>
      <c r="J351" s="34"/>
      <c r="K351" s="34"/>
      <c r="L351" s="34"/>
      <c r="M351" s="34"/>
      <c r="N351" s="34"/>
      <c r="O351" s="34"/>
      <c r="P351" s="34"/>
      <c r="Q351" s="34"/>
      <c r="R351" s="34"/>
      <c r="S351" s="34"/>
      <c r="T351" s="34"/>
      <c r="U351" s="34"/>
      <c r="V351" s="34"/>
      <c r="W351" s="34"/>
      <c r="X351" s="34"/>
      <c r="Y351" s="34"/>
      <c r="Z351" s="34"/>
      <c r="AA351" s="34"/>
      <c r="AB351" s="34"/>
      <c r="AC351" s="34"/>
      <c r="AD351" s="34"/>
      <c r="AE351" s="34"/>
      <c r="AF351" s="34"/>
      <c r="AG351" s="34"/>
      <c r="AH351" s="34"/>
      <c r="AI351" s="34"/>
      <c r="AJ351" s="34"/>
      <c r="AK351" s="34"/>
      <c r="AL351" s="34"/>
      <c r="AM351" s="34"/>
      <c r="AN351" s="34"/>
      <c r="AO351" s="34"/>
      <c r="AP351" s="34"/>
    </row>
    <row r="352" spans="1:42">
      <c r="A352" s="3"/>
      <c r="B352" s="3"/>
      <c r="C352" s="3"/>
      <c r="D352" s="3"/>
      <c r="E352" s="3"/>
      <c r="F352" s="3"/>
      <c r="G352" s="3"/>
      <c r="H352" s="3"/>
      <c r="I352" s="34"/>
      <c r="J352" s="34"/>
      <c r="K352" s="34"/>
      <c r="L352" s="34"/>
      <c r="M352" s="34"/>
      <c r="N352" s="34"/>
      <c r="O352" s="34"/>
      <c r="P352" s="34"/>
      <c r="Q352" s="34"/>
      <c r="R352" s="34"/>
      <c r="S352" s="34"/>
      <c r="T352" s="34"/>
      <c r="U352" s="34"/>
      <c r="V352" s="34"/>
      <c r="W352" s="34"/>
      <c r="X352" s="34"/>
      <c r="Y352" s="34"/>
      <c r="Z352" s="34"/>
      <c r="AA352" s="34"/>
      <c r="AB352" s="34"/>
      <c r="AC352" s="34"/>
      <c r="AD352" s="34"/>
      <c r="AE352" s="34"/>
      <c r="AF352" s="34"/>
      <c r="AG352" s="34"/>
      <c r="AH352" s="34"/>
      <c r="AI352" s="34"/>
      <c r="AJ352" s="34"/>
      <c r="AK352" s="34"/>
      <c r="AL352" s="34"/>
      <c r="AM352" s="34"/>
      <c r="AN352" s="34"/>
      <c r="AO352" s="34"/>
      <c r="AP352" s="34"/>
    </row>
    <row r="353" spans="1:42">
      <c r="A353" s="3"/>
      <c r="B353" s="3"/>
      <c r="C353" s="3"/>
      <c r="D353" s="3"/>
      <c r="E353" s="3"/>
      <c r="F353" s="3"/>
      <c r="G353" s="3"/>
      <c r="H353" s="3"/>
      <c r="I353" s="34"/>
      <c r="J353" s="34"/>
      <c r="K353" s="34"/>
      <c r="L353" s="34"/>
      <c r="M353" s="34"/>
      <c r="N353" s="34"/>
      <c r="O353" s="34"/>
      <c r="P353" s="34"/>
      <c r="Q353" s="34"/>
      <c r="R353" s="34"/>
      <c r="S353" s="34"/>
      <c r="T353" s="34"/>
      <c r="U353" s="34"/>
      <c r="V353" s="34"/>
      <c r="W353" s="34"/>
      <c r="X353" s="34"/>
      <c r="Y353" s="34"/>
      <c r="Z353" s="34"/>
      <c r="AA353" s="34"/>
      <c r="AB353" s="34"/>
      <c r="AC353" s="34"/>
      <c r="AD353" s="34"/>
      <c r="AE353" s="34"/>
      <c r="AF353" s="34"/>
      <c r="AG353" s="34"/>
      <c r="AH353" s="34"/>
      <c r="AI353" s="34"/>
      <c r="AJ353" s="34"/>
      <c r="AK353" s="34"/>
      <c r="AL353" s="34"/>
      <c r="AM353" s="34"/>
      <c r="AN353" s="34"/>
      <c r="AO353" s="34"/>
      <c r="AP353" s="34"/>
    </row>
    <row r="354" spans="1:42">
      <c r="A354" s="3"/>
      <c r="B354" s="3"/>
      <c r="C354" s="3"/>
      <c r="D354" s="3"/>
      <c r="E354" s="3"/>
      <c r="F354" s="3"/>
      <c r="G354" s="3"/>
      <c r="H354" s="3"/>
      <c r="I354" s="34"/>
      <c r="J354" s="34"/>
      <c r="K354" s="34"/>
      <c r="L354" s="34"/>
      <c r="M354" s="34"/>
      <c r="N354" s="34"/>
      <c r="O354" s="34"/>
      <c r="P354" s="34"/>
      <c r="Q354" s="34"/>
      <c r="R354" s="34"/>
      <c r="S354" s="34"/>
      <c r="T354" s="34"/>
      <c r="U354" s="34"/>
      <c r="V354" s="34"/>
      <c r="W354" s="34"/>
      <c r="X354" s="34"/>
      <c r="Y354" s="34"/>
      <c r="Z354" s="34"/>
      <c r="AA354" s="34"/>
      <c r="AB354" s="34"/>
      <c r="AC354" s="34"/>
      <c r="AD354" s="34"/>
      <c r="AE354" s="34"/>
      <c r="AF354" s="34"/>
      <c r="AG354" s="34"/>
      <c r="AH354" s="34"/>
      <c r="AI354" s="34"/>
      <c r="AJ354" s="34"/>
      <c r="AK354" s="34"/>
      <c r="AL354" s="34"/>
      <c r="AM354" s="34"/>
      <c r="AN354" s="34"/>
      <c r="AO354" s="34"/>
      <c r="AP354" s="34"/>
    </row>
    <row r="355" spans="1:42">
      <c r="A355" s="3"/>
      <c r="B355" s="3"/>
      <c r="C355" s="3"/>
      <c r="D355" s="3"/>
      <c r="E355" s="3"/>
      <c r="F355" s="3"/>
      <c r="G355" s="3"/>
      <c r="H355" s="3"/>
      <c r="I355" s="34"/>
      <c r="J355" s="34"/>
      <c r="K355" s="34"/>
      <c r="L355" s="34"/>
      <c r="M355" s="34"/>
      <c r="N355" s="34"/>
      <c r="O355" s="34"/>
      <c r="P355" s="34"/>
      <c r="Q355" s="34"/>
      <c r="R355" s="34"/>
      <c r="S355" s="34"/>
      <c r="T355" s="34"/>
      <c r="U355" s="34"/>
      <c r="V355" s="34"/>
      <c r="W355" s="34"/>
      <c r="X355" s="34"/>
      <c r="Y355" s="34"/>
      <c r="Z355" s="34"/>
      <c r="AA355" s="34"/>
      <c r="AB355" s="34"/>
      <c r="AC355" s="34"/>
      <c r="AD355" s="34"/>
      <c r="AE355" s="34"/>
      <c r="AF355" s="34"/>
      <c r="AG355" s="34"/>
      <c r="AH355" s="34"/>
      <c r="AI355" s="34"/>
      <c r="AJ355" s="34"/>
      <c r="AK355" s="34"/>
      <c r="AL355" s="34"/>
      <c r="AM355" s="34"/>
      <c r="AN355" s="34"/>
      <c r="AO355" s="34"/>
      <c r="AP355" s="34"/>
    </row>
    <row r="356" spans="1:42">
      <c r="A356" s="3"/>
      <c r="B356" s="3"/>
      <c r="C356" s="3"/>
      <c r="D356" s="3"/>
      <c r="E356" s="3"/>
      <c r="F356" s="3"/>
      <c r="G356" s="3"/>
      <c r="H356" s="3"/>
      <c r="I356" s="34"/>
      <c r="J356" s="34"/>
      <c r="K356" s="34"/>
      <c r="L356" s="34"/>
      <c r="M356" s="34"/>
      <c r="N356" s="34"/>
      <c r="O356" s="34"/>
      <c r="P356" s="34"/>
      <c r="Q356" s="34"/>
      <c r="R356" s="34"/>
      <c r="S356" s="34"/>
      <c r="T356" s="34"/>
      <c r="U356" s="34"/>
      <c r="V356" s="34"/>
      <c r="W356" s="34"/>
      <c r="X356" s="34"/>
      <c r="Y356" s="34"/>
      <c r="Z356" s="34"/>
      <c r="AA356" s="34"/>
      <c r="AB356" s="34"/>
      <c r="AC356" s="34"/>
      <c r="AD356" s="34"/>
      <c r="AE356" s="34"/>
      <c r="AF356" s="34"/>
      <c r="AG356" s="34"/>
      <c r="AH356" s="34"/>
      <c r="AI356" s="34"/>
      <c r="AJ356" s="34"/>
      <c r="AK356" s="34"/>
      <c r="AL356" s="34"/>
      <c r="AM356" s="34"/>
      <c r="AN356" s="34"/>
      <c r="AO356" s="34"/>
      <c r="AP356" s="34"/>
    </row>
  </sheetData>
  <sheetProtection password="DD3F" sheet="1" objects="1" scenarios="1"/>
  <mergeCells count="3">
    <mergeCell ref="D4:G4"/>
    <mergeCell ref="A1:G1"/>
    <mergeCell ref="A2:G2"/>
  </mergeCells>
  <printOptions horizontalCentered="1"/>
  <pageMargins left="0.75" right="0.75" top="1" bottom="1" header="0.5" footer="0.5"/>
  <pageSetup scale="66" firstPageNumber="18" orientation="portrait" horizontalDpi="4294967292" verticalDpi="4294967292" r:id="rId1"/>
  <headerFooter alignWithMargins="0">
    <oddFooter>&amp;LScot Chambers
&amp;D&amp;CPage _____&amp;R&amp;F
&amp;A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6"/>
  <sheetViews>
    <sheetView zoomScale="75" workbookViewId="0">
      <selection activeCell="B15" sqref="B15"/>
    </sheetView>
  </sheetViews>
  <sheetFormatPr defaultRowHeight="12.75"/>
  <cols>
    <col min="1" max="1" width="32.85546875" customWidth="1"/>
    <col min="2" max="2" width="11.28515625" style="12" customWidth="1"/>
    <col min="3" max="3" width="11.42578125" customWidth="1"/>
    <col min="4" max="4" width="15.140625" customWidth="1"/>
    <col min="5" max="5" width="15.42578125" customWidth="1"/>
    <col min="6" max="6" width="18" customWidth="1"/>
    <col min="7" max="7" width="15" customWidth="1"/>
    <col min="8" max="8" width="11.7109375" customWidth="1"/>
  </cols>
  <sheetData>
    <row r="1" spans="1:8" ht="15.75" customHeight="1">
      <c r="A1" s="10" t="str">
        <f>Scope!A1</f>
        <v>City of Austin 4 x LM6000 Power Project</v>
      </c>
      <c r="B1" s="10"/>
      <c r="C1" s="10"/>
      <c r="D1" s="10"/>
      <c r="E1" s="10"/>
      <c r="F1" s="10"/>
      <c r="G1" s="10"/>
      <c r="H1" s="10"/>
    </row>
    <row r="2" spans="1:8" ht="15.75" customHeight="1">
      <c r="A2" s="173" t="s">
        <v>214</v>
      </c>
      <c r="B2" s="173"/>
      <c r="C2" s="173"/>
      <c r="D2" s="173"/>
      <c r="E2" s="173"/>
      <c r="F2" s="173"/>
      <c r="G2" s="173"/>
      <c r="H2" s="173"/>
    </row>
    <row r="3" spans="1:8" ht="15.75">
      <c r="A3" s="10" t="s">
        <v>215</v>
      </c>
      <c r="B3" s="10"/>
      <c r="C3" s="10"/>
      <c r="D3" s="10"/>
      <c r="E3" s="10"/>
      <c r="F3" s="10"/>
      <c r="G3" s="10"/>
      <c r="H3" s="10"/>
    </row>
    <row r="4" spans="1:8" ht="16.5" thickBot="1">
      <c r="B4" s="265"/>
    </row>
    <row r="5" spans="1:8" ht="15.75">
      <c r="A5" s="266"/>
      <c r="B5" s="267"/>
      <c r="C5" s="59" t="s">
        <v>216</v>
      </c>
      <c r="D5" s="59"/>
      <c r="E5" s="59" t="s">
        <v>610</v>
      </c>
      <c r="F5" s="268" t="s">
        <v>217</v>
      </c>
      <c r="G5" s="59" t="s">
        <v>217</v>
      </c>
      <c r="H5" s="255"/>
    </row>
    <row r="6" spans="1:8" ht="13.5" thickBot="1">
      <c r="A6" s="117"/>
      <c r="B6" s="269" t="s">
        <v>218</v>
      </c>
      <c r="C6" s="61" t="s">
        <v>219</v>
      </c>
      <c r="D6" s="61" t="s">
        <v>220</v>
      </c>
      <c r="E6" s="61" t="s">
        <v>611</v>
      </c>
      <c r="F6" s="270" t="s">
        <v>221</v>
      </c>
      <c r="G6" s="270" t="s">
        <v>222</v>
      </c>
      <c r="H6" s="271" t="s">
        <v>223</v>
      </c>
    </row>
    <row r="7" spans="1:8">
      <c r="A7" s="272"/>
      <c r="B7" s="273"/>
      <c r="C7" s="274"/>
      <c r="D7" s="274"/>
      <c r="E7" s="274"/>
      <c r="F7" s="274"/>
      <c r="G7" s="274"/>
      <c r="H7" s="274"/>
    </row>
    <row r="8" spans="1:8" hidden="1">
      <c r="A8" s="117" t="s">
        <v>812</v>
      </c>
      <c r="B8" s="273">
        <v>0</v>
      </c>
      <c r="C8" s="275"/>
      <c r="D8" s="275"/>
      <c r="E8" s="275"/>
      <c r="F8" s="276"/>
      <c r="G8" s="277"/>
      <c r="H8" s="276"/>
    </row>
    <row r="9" spans="1:8" hidden="1">
      <c r="A9" s="117" t="s">
        <v>813</v>
      </c>
      <c r="B9" s="273">
        <v>0</v>
      </c>
      <c r="D9" s="278"/>
      <c r="E9" s="278"/>
      <c r="F9" s="276"/>
      <c r="G9" s="277"/>
      <c r="H9" s="276"/>
    </row>
    <row r="10" spans="1:8" hidden="1">
      <c r="A10" s="117" t="s">
        <v>814</v>
      </c>
      <c r="B10" s="273">
        <v>0</v>
      </c>
      <c r="C10" s="275"/>
      <c r="D10" s="275"/>
      <c r="E10" s="275"/>
      <c r="F10" s="276"/>
      <c r="G10" s="277"/>
      <c r="H10" s="276"/>
    </row>
    <row r="11" spans="1:8">
      <c r="A11" s="117" t="str">
        <f>Mob_Staffing!A13</f>
        <v>CONTROL ROOM TECHNICIAN</v>
      </c>
      <c r="B11" s="273">
        <v>3</v>
      </c>
      <c r="C11" s="275"/>
      <c r="D11" s="275"/>
      <c r="F11" s="276"/>
      <c r="G11" s="279"/>
      <c r="H11" s="276"/>
    </row>
    <row r="12" spans="1:8">
      <c r="A12" s="117" t="s">
        <v>608</v>
      </c>
      <c r="B12" s="273"/>
      <c r="C12" s="275"/>
      <c r="D12" s="278">
        <f>'Pay &amp; Benefits Calculations'!B34</f>
        <v>25</v>
      </c>
      <c r="E12" s="429">
        <f>'Pay &amp; Benefits Calculations'!R34</f>
        <v>2080</v>
      </c>
      <c r="F12" s="276">
        <f>E12*D12*B11</f>
        <v>156000</v>
      </c>
      <c r="G12" s="279">
        <f>('Pay &amp; Benefits Calculations'!K34-'Pay &amp; Benefits Calculations'!B34)*'Pay &amp; Benefits Calculations'!R34*B11</f>
        <v>96348.669599999979</v>
      </c>
      <c r="H12" s="276">
        <f>SUM(F12:G12)</f>
        <v>252348.66959999996</v>
      </c>
    </row>
    <row r="13" spans="1:8">
      <c r="A13" s="117" t="s">
        <v>609</v>
      </c>
      <c r="B13" s="273"/>
      <c r="C13" s="275"/>
      <c r="D13" s="278">
        <f>'Pay &amp; Benefits Calculations'!B52</f>
        <v>37.5</v>
      </c>
      <c r="E13" s="429">
        <f>'Pay &amp; Benefits Calculations'!R52</f>
        <v>416</v>
      </c>
      <c r="F13" s="276">
        <f>E13*D13*B11</f>
        <v>46800</v>
      </c>
      <c r="G13" s="279">
        <f>'Pay &amp; Benefits Calculations'!R52*('Pay &amp; Benefits Calculations'!K52-'Pay &amp; Benefits Calculations'!B52)*B11</f>
        <v>20353.881599999997</v>
      </c>
      <c r="H13" s="276">
        <f>SUM(F13:G13)</f>
        <v>67153.881599999993</v>
      </c>
    </row>
    <row r="14" spans="1:8">
      <c r="A14" s="117" t="str">
        <f>Mob_Staffing!A14</f>
        <v>OUTSIDE TECHNICIAN</v>
      </c>
      <c r="B14" s="280">
        <v>2</v>
      </c>
      <c r="C14" s="275"/>
      <c r="E14" s="429"/>
      <c r="F14" s="276"/>
      <c r="G14" s="279"/>
      <c r="H14" s="276"/>
    </row>
    <row r="15" spans="1:8">
      <c r="A15" s="117" t="s">
        <v>608</v>
      </c>
      <c r="B15" s="280"/>
      <c r="C15" s="275"/>
      <c r="D15" s="278">
        <f>'Pay &amp; Benefits Calculations'!B35</f>
        <v>22</v>
      </c>
      <c r="E15" s="429">
        <f>'Pay &amp; Benefits Calculations'!R35</f>
        <v>2080</v>
      </c>
      <c r="F15" s="276">
        <f>E15*D15*B14</f>
        <v>91520</v>
      </c>
      <c r="G15" s="279">
        <f>'Pay &amp; Benefits Calculations'!R35*('Pay &amp; Benefits Calculations'!K35-'Pay &amp; Benefits Calculations'!B35)*B14</f>
        <v>57806.34464000001</v>
      </c>
      <c r="H15" s="276">
        <f>SUM(F15:G15)</f>
        <v>149326.34464000002</v>
      </c>
    </row>
    <row r="16" spans="1:8">
      <c r="A16" s="117" t="s">
        <v>609</v>
      </c>
      <c r="B16" s="280"/>
      <c r="C16" s="275"/>
      <c r="D16" s="278">
        <f>'Pay &amp; Benefits Calculations'!B53</f>
        <v>33</v>
      </c>
      <c r="E16" s="429">
        <f>'Pay &amp; Benefits Calculations'!R53</f>
        <v>416</v>
      </c>
      <c r="F16" s="276">
        <f>E16*D16*B14</f>
        <v>27456</v>
      </c>
      <c r="G16" s="279">
        <f>'Pay &amp; Benefits Calculations'!R53*('Pay &amp; Benefits Calculations'!K53-'Pay &amp; Benefits Calculations'!B53)*B14</f>
        <v>11940.943871999996</v>
      </c>
      <c r="H16" s="276">
        <f>SUM(F16:G16)</f>
        <v>39396.943871999996</v>
      </c>
    </row>
    <row r="17" spans="1:8">
      <c r="B17" s="280"/>
      <c r="C17" s="279"/>
      <c r="D17" s="279"/>
      <c r="E17" s="430"/>
      <c r="F17" s="276"/>
      <c r="G17" s="279"/>
      <c r="H17" s="276"/>
    </row>
    <row r="18" spans="1:8">
      <c r="A18" s="281" t="s">
        <v>224</v>
      </c>
      <c r="B18" s="280"/>
      <c r="C18" s="279"/>
      <c r="D18" s="279"/>
      <c r="E18" s="430"/>
      <c r="F18" s="276"/>
      <c r="G18" s="279"/>
      <c r="H18" s="276"/>
    </row>
    <row r="19" spans="1:8" ht="13.5" thickBot="1">
      <c r="A19" s="281"/>
      <c r="B19" s="282"/>
      <c r="C19" s="283"/>
      <c r="D19" s="283"/>
      <c r="E19" s="431"/>
      <c r="F19" s="276"/>
      <c r="G19" s="276"/>
      <c r="H19" s="284"/>
    </row>
    <row r="20" spans="1:8" ht="13.5" thickBot="1">
      <c r="A20" s="285" t="s">
        <v>225</v>
      </c>
      <c r="B20" s="286">
        <f>SUM(B8:B19)</f>
        <v>5</v>
      </c>
      <c r="C20" s="287"/>
      <c r="D20" s="287"/>
      <c r="E20" s="287"/>
      <c r="F20" s="288">
        <f>SUM(F8:F19)</f>
        <v>321776</v>
      </c>
      <c r="G20" s="288">
        <f>SUM(G8:G19)</f>
        <v>186449.83971199999</v>
      </c>
      <c r="H20" s="288">
        <f>SUM(H8:H19)</f>
        <v>508225.83971199999</v>
      </c>
    </row>
    <row r="21" spans="1:8" ht="25.5" customHeight="1">
      <c r="A21" s="117"/>
      <c r="B21" s="289"/>
      <c r="C21" s="117"/>
      <c r="D21" s="117"/>
      <c r="E21" s="117"/>
      <c r="F21" s="290"/>
      <c r="G21" s="291"/>
      <c r="H21" s="117"/>
    </row>
    <row r="25" spans="1:8">
      <c r="A25" s="181"/>
    </row>
    <row r="26" spans="1:8">
      <c r="A26" s="181"/>
    </row>
  </sheetData>
  <printOptions horizontalCentered="1"/>
  <pageMargins left="0.75" right="0.75" top="1" bottom="1" header="0.5" footer="0.5"/>
  <pageSetup scale="69" orientation="portrait" horizontalDpi="4294967292" verticalDpi="4294967292" r:id="rId1"/>
  <headerFooter alignWithMargins="0">
    <oddFooter>&amp;LScot Chambers
&amp;D&amp;CPage _____&amp;R&amp;F
&amp;A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V56"/>
  <sheetViews>
    <sheetView zoomScale="75" workbookViewId="0">
      <selection activeCell="B59" sqref="B59"/>
    </sheetView>
  </sheetViews>
  <sheetFormatPr defaultRowHeight="12.75"/>
  <cols>
    <col min="1" max="1" width="42.28515625" customWidth="1"/>
    <col min="2" max="2" width="10.5703125" customWidth="1"/>
    <col min="3" max="3" width="10" customWidth="1"/>
    <col min="4" max="4" width="9.7109375" customWidth="1"/>
    <col min="5" max="5" width="8.28515625" customWidth="1"/>
    <col min="6" max="6" width="10.85546875" customWidth="1"/>
    <col min="8" max="10" width="9.7109375" customWidth="1"/>
    <col min="11" max="11" width="10.85546875" customWidth="1"/>
    <col min="12" max="12" width="12.140625" customWidth="1"/>
    <col min="14" max="14" width="16.7109375" customWidth="1"/>
    <col min="15" max="15" width="18.7109375" customWidth="1"/>
    <col min="16" max="16" width="12.28515625" customWidth="1"/>
    <col min="17" max="17" width="14.85546875" customWidth="1"/>
    <col min="19" max="19" width="13.85546875" customWidth="1"/>
  </cols>
  <sheetData>
    <row r="1" spans="1:13" ht="15.75">
      <c r="A1" s="10" t="str">
        <f>Scope!A1</f>
        <v>City of Austin 4 x LM6000 Power Project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</row>
    <row r="2" spans="1:13" ht="15.75">
      <c r="A2" s="292" t="s">
        <v>600</v>
      </c>
      <c r="B2" s="292"/>
      <c r="C2" s="292"/>
      <c r="D2" s="292"/>
      <c r="E2" s="292"/>
      <c r="F2" s="292"/>
      <c r="G2" s="292"/>
      <c r="H2" s="292"/>
      <c r="I2" s="292"/>
      <c r="J2" s="292"/>
      <c r="K2" s="292"/>
      <c r="L2" s="292"/>
    </row>
    <row r="3" spans="1:13">
      <c r="A3" s="293"/>
      <c r="B3" s="172"/>
      <c r="C3" s="172"/>
      <c r="D3" s="172"/>
      <c r="E3" s="172"/>
      <c r="F3" s="172"/>
    </row>
    <row r="4" spans="1:13" ht="27.75" customHeight="1">
      <c r="A4" s="293"/>
      <c r="B4" s="172"/>
      <c r="C4" s="172"/>
      <c r="D4" s="172"/>
      <c r="E4" s="172"/>
      <c r="F4" s="172"/>
    </row>
    <row r="5" spans="1:13" hidden="1">
      <c r="A5" s="73"/>
      <c r="B5" s="154"/>
      <c r="C5" s="73"/>
      <c r="D5" s="73"/>
      <c r="E5" s="154"/>
      <c r="F5" s="73"/>
      <c r="G5" s="73"/>
      <c r="H5" s="73"/>
      <c r="I5" s="73"/>
      <c r="J5" s="73"/>
      <c r="K5" s="73"/>
      <c r="L5" s="73"/>
      <c r="M5" s="3"/>
    </row>
    <row r="6" spans="1:13" hidden="1">
      <c r="A6" s="73"/>
      <c r="B6" s="154"/>
      <c r="C6" s="73"/>
      <c r="D6" s="73"/>
      <c r="E6" s="154"/>
      <c r="F6" s="73"/>
      <c r="G6" s="73"/>
      <c r="H6" s="73"/>
      <c r="I6" s="73"/>
      <c r="J6" s="73"/>
      <c r="K6" s="73"/>
      <c r="L6" s="73"/>
      <c r="M6" s="3"/>
    </row>
    <row r="7" spans="1:13" hidden="1">
      <c r="A7" s="73" t="s">
        <v>226</v>
      </c>
      <c r="B7" s="154" t="s">
        <v>227</v>
      </c>
      <c r="C7" s="73" t="s">
        <v>228</v>
      </c>
      <c r="D7" s="73"/>
      <c r="E7" s="154"/>
      <c r="F7" s="73"/>
      <c r="G7" s="73"/>
      <c r="H7" s="73"/>
      <c r="I7" s="73"/>
      <c r="J7" s="73"/>
      <c r="K7" s="73"/>
      <c r="L7" s="73"/>
      <c r="M7" s="3"/>
    </row>
    <row r="8" spans="1:13" hidden="1">
      <c r="A8" s="73"/>
      <c r="B8" s="154" t="s">
        <v>219</v>
      </c>
      <c r="C8" s="73" t="s">
        <v>229</v>
      </c>
      <c r="D8" s="73"/>
      <c r="E8" s="154"/>
      <c r="F8" s="73"/>
      <c r="G8" s="73"/>
      <c r="H8" s="73"/>
      <c r="I8" s="73"/>
      <c r="J8" s="73"/>
      <c r="K8" s="73"/>
      <c r="L8" s="73"/>
      <c r="M8" s="3"/>
    </row>
    <row r="9" spans="1:13" ht="17.25" hidden="1" customHeight="1">
      <c r="A9" s="73" t="s">
        <v>230</v>
      </c>
      <c r="B9" s="154" t="s">
        <v>231</v>
      </c>
      <c r="C9" s="294">
        <v>2080</v>
      </c>
      <c r="D9" s="73"/>
      <c r="E9" s="154"/>
      <c r="F9" s="73"/>
      <c r="G9" s="73"/>
      <c r="H9" s="73"/>
      <c r="I9" s="73"/>
      <c r="J9" s="73"/>
      <c r="K9" s="73"/>
      <c r="L9" s="73"/>
      <c r="M9" s="3"/>
    </row>
    <row r="10" spans="1:13" ht="18" hidden="1" customHeight="1">
      <c r="A10" s="73"/>
      <c r="B10" s="154"/>
      <c r="C10" s="73"/>
      <c r="D10" s="73"/>
      <c r="E10" s="154"/>
      <c r="F10" s="73"/>
      <c r="G10" s="73"/>
      <c r="H10" s="73"/>
      <c r="I10" s="73"/>
      <c r="J10" s="73"/>
      <c r="K10" s="73"/>
      <c r="L10" s="73"/>
      <c r="M10" s="3"/>
    </row>
    <row r="11" spans="1:13" ht="20.25" hidden="1" customHeight="1">
      <c r="A11" s="73" t="s">
        <v>812</v>
      </c>
      <c r="B11" s="295">
        <f>K28*C$9</f>
        <v>134532.49455999999</v>
      </c>
      <c r="C11" s="73"/>
      <c r="D11" s="73"/>
      <c r="E11" s="154"/>
      <c r="F11" s="73"/>
      <c r="G11" s="73"/>
      <c r="H11" s="73"/>
      <c r="I11" s="73"/>
      <c r="J11" s="73"/>
      <c r="K11" s="73"/>
      <c r="L11" s="73"/>
      <c r="M11" s="3"/>
    </row>
    <row r="12" spans="1:13" ht="15.75" hidden="1" customHeight="1">
      <c r="A12" s="73" t="s">
        <v>836</v>
      </c>
      <c r="B12" s="295">
        <f>K29*C$9</f>
        <v>124133.75919999996</v>
      </c>
      <c r="C12" s="73"/>
      <c r="D12" s="73"/>
      <c r="E12" s="154"/>
      <c r="F12" s="73"/>
      <c r="G12" s="73"/>
      <c r="H12" s="73"/>
      <c r="I12" s="73"/>
      <c r="J12" s="73"/>
      <c r="K12" s="73"/>
      <c r="L12" s="73"/>
      <c r="M12" s="3"/>
    </row>
    <row r="13" spans="1:13" ht="20.25" hidden="1" customHeight="1">
      <c r="A13" s="73" t="s">
        <v>838</v>
      </c>
      <c r="B13" s="295">
        <f>K30*C$9</f>
        <v>82556.223199999993</v>
      </c>
      <c r="C13" s="73"/>
      <c r="D13" s="73"/>
      <c r="E13" s="73"/>
      <c r="F13" s="73"/>
      <c r="G13" s="73"/>
      <c r="H13" s="73"/>
      <c r="I13" s="73"/>
      <c r="J13" s="73"/>
      <c r="K13" s="73"/>
      <c r="L13" s="73"/>
      <c r="M13" s="3"/>
    </row>
    <row r="14" spans="1:13" ht="15" hidden="1" customHeight="1">
      <c r="A14" s="73" t="s">
        <v>813</v>
      </c>
      <c r="B14" s="295">
        <f>K31*C$9</f>
        <v>43940.756960000006</v>
      </c>
      <c r="C14" s="73"/>
      <c r="D14" s="73"/>
      <c r="E14" s="73"/>
      <c r="F14" s="73"/>
      <c r="G14" s="73"/>
      <c r="H14" s="73"/>
      <c r="I14" s="73"/>
      <c r="J14" s="73"/>
      <c r="K14" s="73"/>
      <c r="L14" s="73"/>
      <c r="M14" s="3"/>
    </row>
    <row r="15" spans="1:13" ht="17.25" hidden="1" customHeight="1">
      <c r="A15" s="73" t="s">
        <v>839</v>
      </c>
      <c r="B15" s="295">
        <f>K33*C$9</f>
        <v>103810.07919999999</v>
      </c>
      <c r="C15" s="73"/>
      <c r="D15" s="73"/>
      <c r="E15" s="73"/>
      <c r="F15" s="73"/>
      <c r="G15" s="73"/>
      <c r="H15" s="73"/>
      <c r="I15" s="73"/>
      <c r="J15" s="73"/>
      <c r="K15" s="73"/>
      <c r="L15" s="73"/>
      <c r="M15" s="3"/>
    </row>
    <row r="16" spans="1:13" ht="20.25" hidden="1" customHeight="1">
      <c r="A16" s="73" t="s">
        <v>841</v>
      </c>
      <c r="B16" s="295">
        <f>K34*C$9</f>
        <v>84116.223199999993</v>
      </c>
      <c r="C16" s="73"/>
      <c r="D16" s="73"/>
      <c r="E16" s="73"/>
      <c r="F16" s="73"/>
      <c r="G16" s="73"/>
      <c r="H16" s="73"/>
      <c r="I16" s="73"/>
      <c r="J16" s="73"/>
      <c r="K16" s="73"/>
      <c r="L16" s="73"/>
      <c r="M16" s="3"/>
    </row>
    <row r="17" spans="1:19" ht="14.25" hidden="1" customHeight="1">
      <c r="A17" s="73" t="s">
        <v>843</v>
      </c>
      <c r="B17" s="295">
        <f>K35*C$9</f>
        <v>74663.172320000012</v>
      </c>
      <c r="C17" s="73"/>
      <c r="D17" s="73"/>
      <c r="E17" s="73"/>
      <c r="F17" s="73"/>
      <c r="G17" s="73"/>
      <c r="H17" s="73"/>
      <c r="I17" s="73"/>
      <c r="J17" s="73"/>
      <c r="K17" s="73"/>
      <c r="L17" s="73"/>
      <c r="M17" s="41"/>
    </row>
    <row r="18" spans="1:19" ht="15" customHeight="1">
      <c r="A18" s="296"/>
      <c r="B18" s="25"/>
      <c r="C18" s="25"/>
      <c r="D18" s="25"/>
      <c r="E18" s="73"/>
      <c r="F18" s="25"/>
      <c r="G18" s="25"/>
      <c r="H18" s="73"/>
      <c r="I18" s="73"/>
      <c r="J18" s="73"/>
      <c r="K18" s="73"/>
      <c r="L18" s="73"/>
      <c r="M18" s="3"/>
    </row>
    <row r="19" spans="1:19" ht="15.75">
      <c r="A19" s="296" t="s">
        <v>232</v>
      </c>
      <c r="B19" s="25"/>
      <c r="C19" s="25"/>
      <c r="D19" s="25"/>
      <c r="E19" s="73"/>
      <c r="F19" s="25"/>
      <c r="G19" s="25"/>
      <c r="H19" s="73"/>
      <c r="I19" s="73"/>
      <c r="J19" s="73"/>
      <c r="K19" s="73"/>
      <c r="L19" s="73"/>
      <c r="M19" s="3"/>
    </row>
    <row r="20" spans="1:19" ht="16.5" thickBot="1">
      <c r="A20" s="296" t="s">
        <v>233</v>
      </c>
      <c r="B20" s="25"/>
      <c r="C20" s="25"/>
      <c r="D20" s="25"/>
      <c r="E20" s="73"/>
      <c r="F20" s="25"/>
      <c r="G20" s="25"/>
      <c r="H20" s="25"/>
      <c r="I20" s="25"/>
      <c r="J20" s="25"/>
      <c r="K20" s="73"/>
      <c r="L20" s="73"/>
      <c r="M20" s="3"/>
    </row>
    <row r="21" spans="1:19">
      <c r="A21" s="297"/>
      <c r="B21" s="297"/>
      <c r="C21" s="297"/>
      <c r="D21" s="297"/>
      <c r="E21" s="298"/>
      <c r="F21" s="297"/>
      <c r="G21" s="26"/>
      <c r="H21" s="26"/>
      <c r="I21" s="26"/>
      <c r="J21" s="26"/>
      <c r="K21" s="73"/>
      <c r="L21" s="73"/>
      <c r="M21" s="3"/>
      <c r="N21" s="459" t="s">
        <v>601</v>
      </c>
      <c r="O21" s="470"/>
      <c r="P21" s="460"/>
      <c r="Q21" s="459" t="s">
        <v>602</v>
      </c>
      <c r="R21" s="470"/>
      <c r="S21" s="460"/>
    </row>
    <row r="22" spans="1:19">
      <c r="A22" s="299"/>
      <c r="B22" s="300"/>
      <c r="C22" s="301"/>
      <c r="D22" s="301"/>
      <c r="E22" s="301"/>
      <c r="F22" s="301" t="s">
        <v>612</v>
      </c>
      <c r="G22" s="302"/>
      <c r="H22" s="303"/>
      <c r="I22" s="302"/>
      <c r="J22" s="303"/>
      <c r="K22" s="302"/>
      <c r="L22" s="303"/>
      <c r="M22" s="3"/>
      <c r="N22" s="419" t="s">
        <v>603</v>
      </c>
      <c r="O22" s="174" t="s">
        <v>229</v>
      </c>
      <c r="P22" s="420" t="s">
        <v>252</v>
      </c>
      <c r="Q22" s="419" t="s">
        <v>603</v>
      </c>
      <c r="R22" s="174" t="s">
        <v>229</v>
      </c>
      <c r="S22" s="420" t="s">
        <v>252</v>
      </c>
    </row>
    <row r="23" spans="1:19">
      <c r="A23" s="304"/>
      <c r="B23" s="305" t="s">
        <v>234</v>
      </c>
      <c r="C23" s="306" t="s">
        <v>235</v>
      </c>
      <c r="D23" s="306" t="s">
        <v>236</v>
      </c>
      <c r="E23" s="306"/>
      <c r="F23" s="305" t="s">
        <v>237</v>
      </c>
      <c r="G23" s="307" t="s">
        <v>238</v>
      </c>
      <c r="H23" s="308"/>
      <c r="I23" s="307"/>
      <c r="J23" s="308"/>
      <c r="K23" s="309"/>
      <c r="L23" s="308"/>
      <c r="M23" s="3"/>
      <c r="N23" s="421"/>
      <c r="O23" s="289"/>
      <c r="P23" s="422"/>
      <c r="Q23" s="421"/>
      <c r="R23" s="117"/>
      <c r="S23" s="380"/>
    </row>
    <row r="24" spans="1:19">
      <c r="A24" s="304" t="s">
        <v>239</v>
      </c>
      <c r="B24" s="305" t="s">
        <v>240</v>
      </c>
      <c r="C24" s="310" t="s">
        <v>1040</v>
      </c>
      <c r="D24" s="310" t="s">
        <v>241</v>
      </c>
      <c r="E24" s="310" t="s">
        <v>242</v>
      </c>
      <c r="F24" s="305" t="s">
        <v>243</v>
      </c>
      <c r="G24" s="309" t="s">
        <v>244</v>
      </c>
      <c r="H24" s="311" t="s">
        <v>245</v>
      </c>
      <c r="I24" s="309" t="s">
        <v>604</v>
      </c>
      <c r="J24" s="311" t="s">
        <v>605</v>
      </c>
      <c r="K24" s="309" t="s">
        <v>246</v>
      </c>
      <c r="L24" s="308" t="s">
        <v>234</v>
      </c>
      <c r="M24" s="3"/>
      <c r="N24" s="421"/>
      <c r="O24" s="289"/>
      <c r="P24" s="422"/>
      <c r="Q24" s="421"/>
      <c r="R24" s="117"/>
      <c r="S24" s="380"/>
    </row>
    <row r="25" spans="1:19">
      <c r="A25" s="304" t="s">
        <v>247</v>
      </c>
      <c r="B25" s="305" t="s">
        <v>248</v>
      </c>
      <c r="C25" s="305" t="s">
        <v>249</v>
      </c>
      <c r="D25" s="305" t="s">
        <v>243</v>
      </c>
      <c r="E25" s="305" t="s">
        <v>250</v>
      </c>
      <c r="F25" s="305" t="s">
        <v>251</v>
      </c>
      <c r="G25" s="307" t="s">
        <v>243</v>
      </c>
      <c r="H25" s="308"/>
      <c r="I25" s="307"/>
      <c r="J25" s="308"/>
      <c r="K25" s="309" t="s">
        <v>252</v>
      </c>
      <c r="L25" s="308" t="s">
        <v>228</v>
      </c>
      <c r="M25" s="3"/>
      <c r="N25" s="421"/>
      <c r="O25" s="289"/>
      <c r="P25" s="422"/>
      <c r="Q25" s="421"/>
      <c r="R25" s="117"/>
      <c r="S25" s="380"/>
    </row>
    <row r="26" spans="1:19">
      <c r="A26" s="304"/>
      <c r="B26" s="432"/>
      <c r="C26" s="433">
        <v>0.1434</v>
      </c>
      <c r="D26" s="433">
        <v>7.7799999999999994E-2</v>
      </c>
      <c r="E26" s="433">
        <v>0.15</v>
      </c>
      <c r="F26" s="434">
        <v>440.66</v>
      </c>
      <c r="G26" s="435">
        <v>0.01</v>
      </c>
      <c r="H26" s="423">
        <v>0.05</v>
      </c>
      <c r="I26" s="312">
        <v>0.05</v>
      </c>
      <c r="J26" s="423">
        <v>0.03</v>
      </c>
      <c r="K26" s="313"/>
      <c r="L26" s="314" t="s">
        <v>253</v>
      </c>
      <c r="M26" s="3"/>
      <c r="N26" s="421"/>
      <c r="O26" s="289"/>
      <c r="P26" s="422"/>
      <c r="Q26" s="421"/>
      <c r="R26" s="117"/>
      <c r="S26" s="380"/>
    </row>
    <row r="27" spans="1:19" ht="15.75" hidden="1">
      <c r="A27" s="315" t="s">
        <v>1099</v>
      </c>
      <c r="B27" s="316"/>
      <c r="C27" s="316"/>
      <c r="D27" s="317"/>
      <c r="E27" s="317"/>
      <c r="F27" s="316"/>
      <c r="G27" s="317"/>
      <c r="H27" s="318"/>
      <c r="I27" s="317"/>
      <c r="J27" s="318"/>
      <c r="K27" s="317"/>
      <c r="L27" s="318"/>
      <c r="M27" s="3"/>
      <c r="N27" s="421"/>
      <c r="O27" s="289"/>
      <c r="P27" s="422"/>
      <c r="Q27" s="421"/>
      <c r="R27" s="117"/>
      <c r="S27" s="380"/>
    </row>
    <row r="28" spans="1:19" hidden="1">
      <c r="A28" s="319" t="s">
        <v>254</v>
      </c>
      <c r="B28" s="320">
        <v>41</v>
      </c>
      <c r="C28" s="321">
        <f t="shared" ref="C28:E31" si="0">$B28*C$26</f>
        <v>5.8794000000000004</v>
      </c>
      <c r="D28" s="321">
        <f t="shared" si="0"/>
        <v>3.1898</v>
      </c>
      <c r="E28" s="321">
        <f t="shared" si="0"/>
        <v>6.1499999999999995</v>
      </c>
      <c r="F28" s="321">
        <f>$F$26*12/2080</f>
        <v>2.5422692307692309</v>
      </c>
      <c r="G28" s="321">
        <f>SUM(B28:F28)*G$26</f>
        <v>0.58761469230769225</v>
      </c>
      <c r="H28" s="321">
        <f>$B28*H$26</f>
        <v>2.0500000000000003</v>
      </c>
      <c r="I28" s="321">
        <f t="shared" ref="I28:J34" si="1">$B28*I$26</f>
        <v>2.0500000000000003</v>
      </c>
      <c r="J28" s="321">
        <f t="shared" si="1"/>
        <v>1.23</v>
      </c>
      <c r="K28" s="321">
        <f>SUM(B28:J28)</f>
        <v>64.679083923076917</v>
      </c>
      <c r="L28" s="322">
        <f>B28*2080</f>
        <v>85280</v>
      </c>
      <c r="M28" s="3"/>
      <c r="N28" s="421">
        <v>0</v>
      </c>
      <c r="O28" s="424">
        <f>7*160</f>
        <v>1120</v>
      </c>
      <c r="P28" s="425">
        <f>N28*O28*K28</f>
        <v>0</v>
      </c>
      <c r="Q28" s="421">
        <v>0</v>
      </c>
      <c r="R28" s="289">
        <v>2080</v>
      </c>
      <c r="S28" s="425">
        <f>Q28*R28*K28</f>
        <v>0</v>
      </c>
    </row>
    <row r="29" spans="1:19" hidden="1">
      <c r="A29" s="323" t="s">
        <v>255</v>
      </c>
      <c r="B29" s="324">
        <f>80000/2080</f>
        <v>38.46153846153846</v>
      </c>
      <c r="C29" s="321">
        <f t="shared" si="0"/>
        <v>5.5153846153846153</v>
      </c>
      <c r="D29" s="321">
        <f t="shared" si="0"/>
        <v>2.9923076923076919</v>
      </c>
      <c r="E29" s="321">
        <f t="shared" si="0"/>
        <v>5.7692307692307692</v>
      </c>
      <c r="F29" s="321">
        <f>$F$26*12/2080</f>
        <v>2.5422692307692309</v>
      </c>
      <c r="G29" s="321">
        <f>SUM(B29:F29)*G$26</f>
        <v>0.55280730769230757</v>
      </c>
      <c r="H29" s="321">
        <f>$B29*H$26</f>
        <v>1.9230769230769231</v>
      </c>
      <c r="I29" s="321">
        <f t="shared" si="1"/>
        <v>1.9230769230769231</v>
      </c>
      <c r="J29" s="321"/>
      <c r="K29" s="321">
        <f t="shared" ref="K29:K35" si="2">SUM(B29:J29)</f>
        <v>59.679691923076902</v>
      </c>
      <c r="L29" s="322">
        <f>B29*2080</f>
        <v>80000</v>
      </c>
      <c r="M29" s="3"/>
      <c r="N29" s="421"/>
      <c r="O29" s="424">
        <f>7*160</f>
        <v>1120</v>
      </c>
      <c r="P29" s="425">
        <f t="shared" ref="P29:P35" si="3">N29*O29*K29</f>
        <v>0</v>
      </c>
      <c r="Q29" s="421"/>
      <c r="R29" s="289"/>
      <c r="S29" s="425">
        <f t="shared" ref="S29:S35" si="4">Q29*R29*K29</f>
        <v>0</v>
      </c>
    </row>
    <row r="30" spans="1:19" hidden="1">
      <c r="A30" s="319" t="s">
        <v>256</v>
      </c>
      <c r="B30" s="320">
        <v>25</v>
      </c>
      <c r="C30" s="321">
        <f t="shared" si="0"/>
        <v>3.585</v>
      </c>
      <c r="D30" s="321">
        <f t="shared" si="0"/>
        <v>1.9449999999999998</v>
      </c>
      <c r="E30" s="321">
        <f t="shared" si="0"/>
        <v>3.75</v>
      </c>
      <c r="F30" s="321">
        <f>$F$26*12/2080</f>
        <v>2.5422692307692309</v>
      </c>
      <c r="G30" s="321">
        <f>SUM(B30:F30)*G$26</f>
        <v>0.36822269230769228</v>
      </c>
      <c r="H30" s="321">
        <f>$B30*H$26</f>
        <v>1.25</v>
      </c>
      <c r="I30" s="321">
        <f t="shared" si="1"/>
        <v>1.25</v>
      </c>
      <c r="J30" s="321"/>
      <c r="K30" s="321">
        <f t="shared" si="2"/>
        <v>39.69049192307692</v>
      </c>
      <c r="L30" s="322">
        <f>B30*2080</f>
        <v>52000</v>
      </c>
      <c r="M30" s="3"/>
      <c r="N30" s="421"/>
      <c r="O30" s="424">
        <f>7*160</f>
        <v>1120</v>
      </c>
      <c r="P30" s="425">
        <f t="shared" si="3"/>
        <v>0</v>
      </c>
      <c r="Q30" s="421"/>
      <c r="R30" s="289"/>
      <c r="S30" s="425">
        <f t="shared" si="4"/>
        <v>0</v>
      </c>
    </row>
    <row r="31" spans="1:19" hidden="1">
      <c r="A31" s="319" t="s">
        <v>606</v>
      </c>
      <c r="B31" s="320">
        <v>12.25</v>
      </c>
      <c r="C31" s="321">
        <f t="shared" si="0"/>
        <v>1.75665</v>
      </c>
      <c r="D31" s="321">
        <f t="shared" si="0"/>
        <v>0.95304999999999995</v>
      </c>
      <c r="E31" s="321">
        <f t="shared" si="0"/>
        <v>1.8374999999999999</v>
      </c>
      <c r="F31" s="321">
        <f>$F$26*12/2080</f>
        <v>2.5422692307692309</v>
      </c>
      <c r="G31" s="321">
        <f>SUM(B31:F31)*G$26</f>
        <v>0.19339469230769232</v>
      </c>
      <c r="H31" s="321">
        <f>$B31*H$26</f>
        <v>0.61250000000000004</v>
      </c>
      <c r="I31" s="321">
        <f t="shared" si="1"/>
        <v>0.61250000000000004</v>
      </c>
      <c r="J31" s="321">
        <f t="shared" si="1"/>
        <v>0.36749999999999999</v>
      </c>
      <c r="K31" s="321">
        <f t="shared" si="2"/>
        <v>21.125363923076925</v>
      </c>
      <c r="L31" s="322">
        <f>B31*2080</f>
        <v>25480</v>
      </c>
      <c r="M31" s="3"/>
      <c r="N31" s="421">
        <v>0</v>
      </c>
      <c r="O31" s="424">
        <f>7*160</f>
        <v>1120</v>
      </c>
      <c r="P31" s="425">
        <f t="shared" si="3"/>
        <v>0</v>
      </c>
      <c r="Q31" s="421">
        <v>0</v>
      </c>
      <c r="R31" s="289">
        <v>2080</v>
      </c>
      <c r="S31" s="425">
        <f t="shared" si="4"/>
        <v>0</v>
      </c>
    </row>
    <row r="32" spans="1:19" ht="15.75">
      <c r="A32" s="315" t="s">
        <v>257</v>
      </c>
      <c r="B32" s="325"/>
      <c r="C32" s="25"/>
      <c r="D32" s="25"/>
      <c r="E32" s="25"/>
      <c r="F32" s="25"/>
      <c r="G32" s="25"/>
      <c r="H32" s="25"/>
      <c r="I32" s="321"/>
      <c r="J32" s="321"/>
      <c r="K32" s="321"/>
      <c r="L32" s="25"/>
      <c r="M32" s="3"/>
      <c r="N32" s="421"/>
      <c r="O32" s="424"/>
      <c r="P32" s="425"/>
      <c r="Q32" s="421"/>
      <c r="R32" s="289"/>
      <c r="S32" s="425"/>
    </row>
    <row r="33" spans="1:22" hidden="1">
      <c r="A33" s="319" t="s">
        <v>258</v>
      </c>
      <c r="B33" s="320">
        <f>65000/2080</f>
        <v>31.25</v>
      </c>
      <c r="C33" s="321">
        <f t="shared" ref="C33:E35" si="5">$B33*C$26</f>
        <v>4.4812500000000002</v>
      </c>
      <c r="D33" s="321">
        <f t="shared" si="5"/>
        <v>2.4312499999999999</v>
      </c>
      <c r="E33" s="321">
        <f t="shared" si="5"/>
        <v>4.6875</v>
      </c>
      <c r="F33" s="321">
        <f>$F$26*12/2080</f>
        <v>2.5422692307692309</v>
      </c>
      <c r="G33" s="321">
        <f>SUM(B33:F33)*G$26</f>
        <v>0.45392269230769233</v>
      </c>
      <c r="H33" s="321">
        <f>$B33*H$26</f>
        <v>1.5625</v>
      </c>
      <c r="I33" s="321">
        <f t="shared" si="1"/>
        <v>1.5625</v>
      </c>
      <c r="J33" s="321">
        <f t="shared" si="1"/>
        <v>0.9375</v>
      </c>
      <c r="K33" s="321">
        <f t="shared" si="2"/>
        <v>49.908691923076923</v>
      </c>
      <c r="L33" s="322">
        <f>B33*2080</f>
        <v>65000</v>
      </c>
      <c r="M33" s="3"/>
      <c r="N33" s="421"/>
      <c r="O33" s="424"/>
      <c r="P33" s="425">
        <f t="shared" si="3"/>
        <v>0</v>
      </c>
      <c r="Q33" s="421"/>
      <c r="R33" s="289"/>
      <c r="S33" s="425">
        <f t="shared" si="4"/>
        <v>0</v>
      </c>
    </row>
    <row r="34" spans="1:22">
      <c r="A34" s="319" t="str">
        <f>Mob_Staffing!A13</f>
        <v>CONTROL ROOM TECHNICIAN</v>
      </c>
      <c r="B34" s="320">
        <v>25</v>
      </c>
      <c r="C34" s="321">
        <f t="shared" si="5"/>
        <v>3.585</v>
      </c>
      <c r="D34" s="321">
        <f t="shared" si="5"/>
        <v>1.9449999999999998</v>
      </c>
      <c r="E34" s="321">
        <f t="shared" si="5"/>
        <v>3.75</v>
      </c>
      <c r="F34" s="321">
        <f>$F$26*12/2080</f>
        <v>2.5422692307692309</v>
      </c>
      <c r="G34" s="321">
        <f>SUM(B34:F34)*G$26</f>
        <v>0.36822269230769228</v>
      </c>
      <c r="H34" s="321">
        <f>$B34*H$26</f>
        <v>1.25</v>
      </c>
      <c r="I34" s="321">
        <f t="shared" si="1"/>
        <v>1.25</v>
      </c>
      <c r="J34" s="321">
        <f t="shared" si="1"/>
        <v>0.75</v>
      </c>
      <c r="K34" s="321">
        <f t="shared" si="2"/>
        <v>40.44049192307692</v>
      </c>
      <c r="L34" s="322">
        <f>B34*2080</f>
        <v>52000</v>
      </c>
      <c r="M34" s="3"/>
      <c r="N34" s="421">
        <v>3</v>
      </c>
      <c r="O34" s="424">
        <f>3*160</f>
        <v>480</v>
      </c>
      <c r="P34" s="425">
        <f t="shared" si="3"/>
        <v>58234.308369230763</v>
      </c>
      <c r="Q34" s="421">
        <v>3</v>
      </c>
      <c r="R34" s="289">
        <v>2080</v>
      </c>
      <c r="S34" s="425">
        <f t="shared" si="4"/>
        <v>252348.66959999996</v>
      </c>
    </row>
    <row r="35" spans="1:22">
      <c r="A35" s="319" t="str">
        <f>Mob_Staffing!A14</f>
        <v>OUTSIDE TECHNICIAN</v>
      </c>
      <c r="B35" s="320">
        <v>22</v>
      </c>
      <c r="C35" s="321">
        <f t="shared" si="5"/>
        <v>3.1547999999999998</v>
      </c>
      <c r="D35" s="321">
        <f t="shared" si="5"/>
        <v>1.7115999999999998</v>
      </c>
      <c r="E35" s="321">
        <f t="shared" si="5"/>
        <v>3.3</v>
      </c>
      <c r="F35" s="321">
        <f>$F$26*12/2080</f>
        <v>2.5422692307692309</v>
      </c>
      <c r="G35" s="321">
        <f>SUM(B35:F35)*G$26</f>
        <v>0.32708669230769233</v>
      </c>
      <c r="H35" s="321">
        <f>$B35*H$26</f>
        <v>1.1000000000000001</v>
      </c>
      <c r="I35" s="321">
        <f>$B35*I$26</f>
        <v>1.1000000000000001</v>
      </c>
      <c r="J35" s="321">
        <f>$B35*J$26</f>
        <v>0.65999999999999992</v>
      </c>
      <c r="K35" s="321">
        <f t="shared" si="2"/>
        <v>35.895755923076926</v>
      </c>
      <c r="L35" s="322">
        <f>B35*2080</f>
        <v>45760</v>
      </c>
      <c r="M35" s="3"/>
      <c r="N35" s="421">
        <v>2</v>
      </c>
      <c r="O35" s="424">
        <f>O34</f>
        <v>480</v>
      </c>
      <c r="P35" s="425">
        <f t="shared" si="3"/>
        <v>34459.925686153852</v>
      </c>
      <c r="Q35" s="421">
        <v>2</v>
      </c>
      <c r="R35" s="289">
        <v>2080</v>
      </c>
      <c r="S35" s="425">
        <f t="shared" si="4"/>
        <v>149326.34464000002</v>
      </c>
    </row>
    <row r="36" spans="1:22">
      <c r="A36" s="73"/>
      <c r="B36" s="73"/>
      <c r="C36" s="73"/>
      <c r="D36" s="73"/>
      <c r="E36" s="73"/>
      <c r="F36" s="73"/>
      <c r="G36" s="73"/>
      <c r="H36" s="73"/>
      <c r="I36" s="73"/>
      <c r="J36" s="73"/>
      <c r="K36" s="73"/>
      <c r="L36" s="73"/>
      <c r="M36" s="3"/>
      <c r="N36" s="421"/>
      <c r="O36" s="424"/>
      <c r="P36" s="422"/>
      <c r="Q36" s="421"/>
      <c r="R36" s="289"/>
      <c r="S36" s="425"/>
    </row>
    <row r="37" spans="1:22" ht="15.75">
      <c r="A37" s="296" t="s">
        <v>259</v>
      </c>
      <c r="B37" s="25"/>
      <c r="C37" s="25"/>
      <c r="D37" s="25"/>
      <c r="E37" s="73"/>
      <c r="F37" s="25"/>
      <c r="G37" s="73"/>
      <c r="H37" s="25"/>
      <c r="I37" s="436"/>
      <c r="J37" s="25"/>
      <c r="K37" s="73"/>
      <c r="L37" s="73"/>
      <c r="M37" s="3"/>
      <c r="N37" s="381"/>
      <c r="O37" s="426"/>
      <c r="P37" s="380"/>
      <c r="Q37" s="381"/>
      <c r="R37" s="117"/>
      <c r="S37" s="427"/>
    </row>
    <row r="38" spans="1:22" ht="15.75">
      <c r="A38" s="296" t="s">
        <v>233</v>
      </c>
      <c r="B38" s="25"/>
      <c r="C38" s="25"/>
      <c r="D38" s="25"/>
      <c r="E38" s="73"/>
      <c r="F38" s="25"/>
      <c r="G38" s="73"/>
      <c r="H38" s="25"/>
      <c r="I38" s="436"/>
      <c r="J38" s="25"/>
      <c r="K38" s="25"/>
      <c r="L38" s="73"/>
      <c r="M38" s="3"/>
      <c r="N38" s="381"/>
      <c r="O38" s="426"/>
      <c r="P38" s="380"/>
      <c r="Q38" s="381"/>
      <c r="R38" s="117"/>
      <c r="S38" s="427"/>
    </row>
    <row r="39" spans="1:22">
      <c r="A39" s="297"/>
      <c r="B39" s="297"/>
      <c r="C39" s="297"/>
      <c r="D39" s="297"/>
      <c r="E39" s="298"/>
      <c r="F39" s="297"/>
      <c r="G39" s="73"/>
      <c r="H39" s="26"/>
      <c r="I39" s="73"/>
      <c r="J39" s="26"/>
      <c r="K39" s="26"/>
      <c r="L39" s="73"/>
      <c r="M39" s="3"/>
      <c r="N39" s="381"/>
      <c r="O39" s="426"/>
      <c r="P39" s="380"/>
      <c r="Q39" s="381"/>
      <c r="R39" s="117"/>
      <c r="S39" s="427"/>
    </row>
    <row r="40" spans="1:22">
      <c r="A40" s="299"/>
      <c r="B40" s="300"/>
      <c r="C40" s="301"/>
      <c r="D40" s="301"/>
      <c r="E40" s="301"/>
      <c r="F40" s="301"/>
      <c r="G40" s="302"/>
      <c r="H40" s="303"/>
      <c r="I40" s="302"/>
      <c r="J40" s="303"/>
      <c r="K40" s="326"/>
      <c r="L40" s="73"/>
      <c r="M40" s="3"/>
      <c r="N40" s="381"/>
      <c r="O40" s="426"/>
      <c r="P40" s="380"/>
      <c r="Q40" s="381"/>
      <c r="R40" s="117"/>
      <c r="S40" s="427"/>
    </row>
    <row r="41" spans="1:22">
      <c r="A41" s="304"/>
      <c r="B41" s="305" t="s">
        <v>234</v>
      </c>
      <c r="C41" s="306" t="s">
        <v>235</v>
      </c>
      <c r="D41" s="306" t="s">
        <v>236</v>
      </c>
      <c r="E41" s="306"/>
      <c r="F41" s="305" t="s">
        <v>237</v>
      </c>
      <c r="G41" s="307" t="s">
        <v>238</v>
      </c>
      <c r="H41" s="308"/>
      <c r="I41" s="307"/>
      <c r="J41" s="308"/>
      <c r="K41" s="327"/>
      <c r="L41" s="73"/>
      <c r="M41" s="3"/>
      <c r="N41" s="381"/>
      <c r="O41" s="426"/>
      <c r="P41" s="380"/>
      <c r="Q41" s="381"/>
      <c r="R41" s="117"/>
      <c r="S41" s="427"/>
    </row>
    <row r="42" spans="1:22">
      <c r="A42" s="304" t="s">
        <v>239</v>
      </c>
      <c r="B42" s="305" t="s">
        <v>240</v>
      </c>
      <c r="C42" s="310" t="s">
        <v>1040</v>
      </c>
      <c r="D42" s="310" t="s">
        <v>241</v>
      </c>
      <c r="E42" s="310" t="s">
        <v>242</v>
      </c>
      <c r="F42" s="305" t="s">
        <v>243</v>
      </c>
      <c r="G42" s="309" t="s">
        <v>244</v>
      </c>
      <c r="H42" s="311" t="s">
        <v>245</v>
      </c>
      <c r="I42" s="309" t="s">
        <v>604</v>
      </c>
      <c r="J42" s="311" t="s">
        <v>605</v>
      </c>
      <c r="K42" s="327" t="s">
        <v>246</v>
      </c>
      <c r="L42" s="73"/>
      <c r="M42" s="3"/>
      <c r="N42" s="381"/>
      <c r="O42" s="426"/>
      <c r="P42" s="380"/>
      <c r="Q42" s="381"/>
      <c r="R42" s="117"/>
      <c r="S42" s="427"/>
    </row>
    <row r="43" spans="1:22">
      <c r="A43" s="304" t="s">
        <v>247</v>
      </c>
      <c r="B43" s="305" t="s">
        <v>248</v>
      </c>
      <c r="C43" s="305" t="s">
        <v>249</v>
      </c>
      <c r="D43" s="305" t="s">
        <v>243</v>
      </c>
      <c r="E43" s="305" t="s">
        <v>250</v>
      </c>
      <c r="F43" s="305" t="s">
        <v>251</v>
      </c>
      <c r="G43" s="307" t="s">
        <v>243</v>
      </c>
      <c r="H43" s="308"/>
      <c r="I43" s="307"/>
      <c r="J43" s="308"/>
      <c r="K43" s="327" t="s">
        <v>252</v>
      </c>
      <c r="L43" s="73"/>
      <c r="M43" s="3"/>
      <c r="N43" s="381"/>
      <c r="O43" s="426"/>
      <c r="P43" s="380"/>
      <c r="Q43" s="381"/>
      <c r="R43" s="117"/>
      <c r="S43" s="427"/>
    </row>
    <row r="44" spans="1:22">
      <c r="A44" s="304"/>
      <c r="B44" s="305"/>
      <c r="C44" s="328">
        <f>C26</f>
        <v>0.1434</v>
      </c>
      <c r="D44" s="328">
        <f>D26</f>
        <v>7.7799999999999994E-2</v>
      </c>
      <c r="E44" s="328">
        <f>E26</f>
        <v>0.15</v>
      </c>
      <c r="F44" s="329">
        <v>0</v>
      </c>
      <c r="G44" s="328">
        <f>G26</f>
        <v>0.01</v>
      </c>
      <c r="H44" s="328">
        <f>H26</f>
        <v>0.05</v>
      </c>
      <c r="I44" s="328">
        <v>0</v>
      </c>
      <c r="J44" s="328">
        <v>0</v>
      </c>
      <c r="K44" s="330"/>
      <c r="L44" s="73"/>
      <c r="M44" s="3"/>
      <c r="N44" s="381"/>
      <c r="O44" s="426"/>
      <c r="P44" s="380"/>
      <c r="Q44" s="381"/>
      <c r="R44" s="117"/>
      <c r="S44" s="427"/>
    </row>
    <row r="45" spans="1:22" ht="15.75" hidden="1">
      <c r="A45" s="315" t="s">
        <v>1099</v>
      </c>
      <c r="B45" s="316"/>
      <c r="C45" s="316"/>
      <c r="D45" s="317"/>
      <c r="E45" s="317"/>
      <c r="F45" s="316"/>
      <c r="G45" s="317"/>
      <c r="H45" s="318"/>
      <c r="I45" s="317"/>
      <c r="J45" s="318"/>
      <c r="K45" s="317"/>
      <c r="L45" s="73"/>
      <c r="M45" s="3"/>
      <c r="N45" s="421"/>
      <c r="O45" s="424"/>
      <c r="P45" s="422"/>
      <c r="Q45" s="421"/>
      <c r="R45" s="289"/>
      <c r="S45" s="425"/>
      <c r="T45" s="12"/>
      <c r="U45" s="12"/>
      <c r="V45" s="12"/>
    </row>
    <row r="46" spans="1:22" hidden="1">
      <c r="A46" s="319" t="str">
        <f>+A28</f>
        <v>Plant Manager</v>
      </c>
      <c r="B46" s="331">
        <f>B28*1.5</f>
        <v>61.5</v>
      </c>
      <c r="C46" s="321">
        <f t="shared" ref="C46:E49" si="6">$B46*C$44</f>
        <v>8.8191000000000006</v>
      </c>
      <c r="D46" s="321">
        <f t="shared" si="6"/>
        <v>4.7847</v>
      </c>
      <c r="E46" s="321">
        <f t="shared" si="6"/>
        <v>9.2249999999999996</v>
      </c>
      <c r="F46" s="321">
        <f>$F$44*12/2080</f>
        <v>0</v>
      </c>
      <c r="G46" s="321">
        <f>SUM(B46:F46)*G$44</f>
        <v>0.84328800000000004</v>
      </c>
      <c r="H46" s="321">
        <f>$B46*H$44</f>
        <v>3.0750000000000002</v>
      </c>
      <c r="I46" s="321"/>
      <c r="J46" s="321"/>
      <c r="K46" s="321">
        <f>SUM(B46:J46)</f>
        <v>88.247088000000005</v>
      </c>
      <c r="L46" s="73"/>
      <c r="M46" s="3"/>
      <c r="N46" s="421">
        <v>0</v>
      </c>
      <c r="O46" s="424">
        <v>0</v>
      </c>
      <c r="P46" s="425">
        <f t="shared" ref="P46:P53" si="7">N46*O46*K46</f>
        <v>0</v>
      </c>
      <c r="Q46" s="421">
        <v>0</v>
      </c>
      <c r="R46" s="289">
        <v>0</v>
      </c>
      <c r="S46" s="425">
        <f t="shared" ref="S46:S53" si="8">Q46*R46*K46</f>
        <v>0</v>
      </c>
      <c r="T46" s="12"/>
      <c r="U46" s="12"/>
      <c r="V46" s="12"/>
    </row>
    <row r="47" spans="1:22" hidden="1">
      <c r="A47" s="323" t="str">
        <f>+A29</f>
        <v>Maintenance Manager</v>
      </c>
      <c r="B47" s="331">
        <f>B29*1.5</f>
        <v>57.692307692307693</v>
      </c>
      <c r="C47" s="321">
        <f t="shared" si="6"/>
        <v>8.273076923076923</v>
      </c>
      <c r="D47" s="321">
        <f t="shared" si="6"/>
        <v>4.4884615384615385</v>
      </c>
      <c r="E47" s="321">
        <f t="shared" si="6"/>
        <v>8.6538461538461533</v>
      </c>
      <c r="F47" s="321">
        <f>$F$44*12/2080</f>
        <v>0</v>
      </c>
      <c r="G47" s="321">
        <f>SUM(B47:F47)*G$44</f>
        <v>0.79107692307692301</v>
      </c>
      <c r="H47" s="321">
        <f>$B47*H$44</f>
        <v>2.884615384615385</v>
      </c>
      <c r="I47" s="321"/>
      <c r="J47" s="321"/>
      <c r="K47" s="321">
        <f t="shared" ref="K47:K53" si="9">SUM(B47:J47)</f>
        <v>82.78338461538462</v>
      </c>
      <c r="L47" s="73"/>
      <c r="M47" s="3"/>
      <c r="N47" s="421"/>
      <c r="O47" s="424"/>
      <c r="P47" s="425">
        <f t="shared" si="7"/>
        <v>0</v>
      </c>
      <c r="Q47" s="421"/>
      <c r="R47" s="289"/>
      <c r="S47" s="425">
        <f t="shared" si="8"/>
        <v>0</v>
      </c>
      <c r="T47" s="12"/>
      <c r="U47" s="12"/>
      <c r="V47" s="12"/>
    </row>
    <row r="48" spans="1:22" hidden="1">
      <c r="A48" s="319" t="str">
        <f>+A30</f>
        <v>Purchasing / Warehouse</v>
      </c>
      <c r="B48" s="331">
        <f>B30*1.5</f>
        <v>37.5</v>
      </c>
      <c r="C48" s="321">
        <f t="shared" si="6"/>
        <v>5.3775000000000004</v>
      </c>
      <c r="D48" s="321">
        <f t="shared" si="6"/>
        <v>2.9175</v>
      </c>
      <c r="E48" s="321">
        <f t="shared" si="6"/>
        <v>5.625</v>
      </c>
      <c r="F48" s="321">
        <f>$F$44*12/2080</f>
        <v>0</v>
      </c>
      <c r="G48" s="321">
        <f>SUM(B48:F48)*G$44</f>
        <v>0.51419999999999999</v>
      </c>
      <c r="H48" s="321">
        <f>$B48*H$44</f>
        <v>1.875</v>
      </c>
      <c r="I48" s="321"/>
      <c r="J48" s="321"/>
      <c r="K48" s="321">
        <f t="shared" si="9"/>
        <v>53.809199999999997</v>
      </c>
      <c r="L48" s="73"/>
      <c r="M48" s="3"/>
      <c r="N48" s="421"/>
      <c r="O48" s="424"/>
      <c r="P48" s="425">
        <f t="shared" si="7"/>
        <v>0</v>
      </c>
      <c r="Q48" s="421"/>
      <c r="R48" s="289"/>
      <c r="S48" s="425">
        <f t="shared" si="8"/>
        <v>0</v>
      </c>
      <c r="T48" s="12"/>
      <c r="U48" s="12"/>
      <c r="V48" s="12"/>
    </row>
    <row r="49" spans="1:22" hidden="1">
      <c r="A49" s="319" t="str">
        <f>+A31</f>
        <v>Clerk</v>
      </c>
      <c r="B49" s="331">
        <f>B31*1.5</f>
        <v>18.375</v>
      </c>
      <c r="C49" s="321">
        <f t="shared" si="6"/>
        <v>2.6349749999999998</v>
      </c>
      <c r="D49" s="321">
        <f t="shared" si="6"/>
        <v>1.4295749999999998</v>
      </c>
      <c r="E49" s="321">
        <f t="shared" si="6"/>
        <v>2.7562500000000001</v>
      </c>
      <c r="F49" s="321">
        <f>$F$44*12/2080</f>
        <v>0</v>
      </c>
      <c r="G49" s="321">
        <f>SUM(B49:F49)*G$44</f>
        <v>0.25195800000000002</v>
      </c>
      <c r="H49" s="321">
        <f>$B49*H$44</f>
        <v>0.91875000000000007</v>
      </c>
      <c r="I49" s="321"/>
      <c r="J49" s="321"/>
      <c r="K49" s="321">
        <f t="shared" si="9"/>
        <v>26.366508</v>
      </c>
      <c r="L49" s="73"/>
      <c r="M49" s="3"/>
      <c r="N49" s="421">
        <v>0</v>
      </c>
      <c r="O49" s="424">
        <v>0</v>
      </c>
      <c r="P49" s="425">
        <f t="shared" si="7"/>
        <v>0</v>
      </c>
      <c r="Q49" s="421">
        <v>0</v>
      </c>
      <c r="R49" s="289">
        <v>0</v>
      </c>
      <c r="S49" s="425">
        <f t="shared" si="8"/>
        <v>0</v>
      </c>
      <c r="T49" s="12"/>
      <c r="U49" s="12"/>
      <c r="V49" s="12"/>
    </row>
    <row r="50" spans="1:22" ht="15.75">
      <c r="A50" s="315" t="s">
        <v>257</v>
      </c>
      <c r="B50" s="331"/>
      <c r="C50" s="321"/>
      <c r="D50" s="321"/>
      <c r="E50" s="321"/>
      <c r="F50" s="321"/>
      <c r="G50" s="321"/>
      <c r="H50" s="321"/>
      <c r="I50" s="321"/>
      <c r="J50" s="321"/>
      <c r="K50" s="321"/>
      <c r="L50" s="73"/>
      <c r="M50" s="3"/>
      <c r="N50" s="421"/>
      <c r="O50" s="424"/>
      <c r="P50" s="425"/>
      <c r="Q50" s="421"/>
      <c r="R50" s="289"/>
      <c r="S50" s="425"/>
      <c r="T50" s="12"/>
      <c r="U50" s="12"/>
      <c r="V50" s="12"/>
    </row>
    <row r="51" spans="1:22" hidden="1">
      <c r="A51" s="319" t="str">
        <f>+A33</f>
        <v>Supervisor</v>
      </c>
      <c r="B51" s="331">
        <f>B33*1.5</f>
        <v>46.875</v>
      </c>
      <c r="C51" s="321">
        <f t="shared" ref="C51:E53" si="10">$B51*C$44</f>
        <v>6.7218749999999998</v>
      </c>
      <c r="D51" s="321">
        <f t="shared" si="10"/>
        <v>3.6468749999999996</v>
      </c>
      <c r="E51" s="321">
        <f t="shared" si="10"/>
        <v>7.03125</v>
      </c>
      <c r="F51" s="321">
        <f>$F$44*12/2080</f>
        <v>0</v>
      </c>
      <c r="G51" s="321">
        <f>SUM(B51:F51)*G$44</f>
        <v>0.64275000000000004</v>
      </c>
      <c r="H51" s="321">
        <f>$B51*H$44</f>
        <v>2.34375</v>
      </c>
      <c r="I51" s="321"/>
      <c r="J51" s="321"/>
      <c r="K51" s="321">
        <f t="shared" si="9"/>
        <v>67.261500000000012</v>
      </c>
      <c r="L51" s="73"/>
      <c r="M51" s="3"/>
      <c r="N51" s="421"/>
      <c r="O51" s="424"/>
      <c r="P51" s="425">
        <f t="shared" si="7"/>
        <v>0</v>
      </c>
      <c r="Q51" s="421"/>
      <c r="R51" s="289"/>
      <c r="S51" s="425">
        <f t="shared" si="8"/>
        <v>0</v>
      </c>
      <c r="T51" s="12"/>
      <c r="U51" s="12"/>
      <c r="V51" s="12"/>
    </row>
    <row r="52" spans="1:22">
      <c r="A52" s="319" t="str">
        <f>+A34</f>
        <v>CONTROL ROOM TECHNICIAN</v>
      </c>
      <c r="B52" s="331">
        <f>B34*1.5</f>
        <v>37.5</v>
      </c>
      <c r="C52" s="321">
        <f t="shared" si="10"/>
        <v>5.3775000000000004</v>
      </c>
      <c r="D52" s="321">
        <f t="shared" si="10"/>
        <v>2.9175</v>
      </c>
      <c r="E52" s="321">
        <f t="shared" si="10"/>
        <v>5.625</v>
      </c>
      <c r="F52" s="321">
        <f>$F$44*12/2080</f>
        <v>0</v>
      </c>
      <c r="G52" s="321">
        <f>SUM(B52:F52)*G$44</f>
        <v>0.51419999999999999</v>
      </c>
      <c r="H52" s="321">
        <f>$B52*H$44</f>
        <v>1.875</v>
      </c>
      <c r="I52" s="321"/>
      <c r="J52" s="321"/>
      <c r="K52" s="321">
        <f t="shared" si="9"/>
        <v>53.809199999999997</v>
      </c>
      <c r="L52" s="73"/>
      <c r="M52" s="3"/>
      <c r="N52" s="421">
        <v>3</v>
      </c>
      <c r="O52" s="424">
        <f>0.2*O34</f>
        <v>96</v>
      </c>
      <c r="P52" s="425">
        <f t="shared" si="7"/>
        <v>15497.049599999998</v>
      </c>
      <c r="Q52" s="421">
        <v>3</v>
      </c>
      <c r="R52" s="289">
        <f>0.2*R34</f>
        <v>416</v>
      </c>
      <c r="S52" s="425">
        <f t="shared" si="8"/>
        <v>67153.881599999993</v>
      </c>
      <c r="T52" s="12"/>
      <c r="U52" s="12"/>
      <c r="V52" s="12"/>
    </row>
    <row r="53" spans="1:22">
      <c r="A53" s="319" t="str">
        <f>+A35</f>
        <v>OUTSIDE TECHNICIAN</v>
      </c>
      <c r="B53" s="331">
        <f>B35*1.5</f>
        <v>33</v>
      </c>
      <c r="C53" s="321">
        <f t="shared" si="10"/>
        <v>4.7321999999999997</v>
      </c>
      <c r="D53" s="321">
        <f t="shared" si="10"/>
        <v>2.5673999999999997</v>
      </c>
      <c r="E53" s="321">
        <f t="shared" si="10"/>
        <v>4.95</v>
      </c>
      <c r="F53" s="321">
        <f>$F$44*12/2080</f>
        <v>0</v>
      </c>
      <c r="G53" s="321">
        <f>SUM(B53:F53)*G$44</f>
        <v>0.45249600000000001</v>
      </c>
      <c r="H53" s="321">
        <f>$B53*H$44</f>
        <v>1.6500000000000001</v>
      </c>
      <c r="I53" s="321"/>
      <c r="J53" s="321"/>
      <c r="K53" s="321">
        <f t="shared" si="9"/>
        <v>47.352095999999996</v>
      </c>
      <c r="L53" s="73"/>
      <c r="M53" s="3"/>
      <c r="N53" s="421">
        <v>2</v>
      </c>
      <c r="O53" s="424">
        <f>0.2*O35</f>
        <v>96</v>
      </c>
      <c r="P53" s="425">
        <f t="shared" si="7"/>
        <v>9091.6024319999997</v>
      </c>
      <c r="Q53" s="421">
        <v>2</v>
      </c>
      <c r="R53" s="289">
        <f>0.2*R35</f>
        <v>416</v>
      </c>
      <c r="S53" s="425">
        <f t="shared" si="8"/>
        <v>39396.943871999996</v>
      </c>
      <c r="T53" s="12"/>
      <c r="U53" s="12"/>
      <c r="V53" s="12"/>
    </row>
    <row r="54" spans="1:22" ht="13.5" thickBot="1">
      <c r="A54" s="73"/>
      <c r="B54" s="73"/>
      <c r="C54" s="73"/>
      <c r="D54" s="73"/>
      <c r="E54" s="73"/>
      <c r="F54" s="73"/>
      <c r="G54" s="73"/>
      <c r="H54" s="73"/>
      <c r="I54" s="73"/>
      <c r="J54" s="73"/>
      <c r="K54" s="73"/>
      <c r="L54" s="73"/>
      <c r="M54" s="3"/>
      <c r="N54" s="381"/>
      <c r="O54" s="117"/>
      <c r="P54" s="380"/>
      <c r="Q54" s="381"/>
      <c r="R54" s="117"/>
      <c r="S54" s="380"/>
    </row>
    <row r="55" spans="1:22" ht="13.5" thickBo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85"/>
      <c r="O55" s="386" t="s">
        <v>607</v>
      </c>
      <c r="P55" s="428">
        <f>SUM(P28:P53)</f>
        <v>117282.88608738461</v>
      </c>
      <c r="Q55" s="385"/>
      <c r="R55" s="386"/>
      <c r="S55" s="428">
        <f>SUM(S28:S53)</f>
        <v>508225.83971199999</v>
      </c>
    </row>
    <row r="56" spans="1:22">
      <c r="L56" s="3"/>
    </row>
  </sheetData>
  <mergeCells count="2">
    <mergeCell ref="N21:P21"/>
    <mergeCell ref="Q21:S21"/>
  </mergeCells>
  <printOptions horizontalCentered="1"/>
  <pageMargins left="0.75" right="0.75" top="1" bottom="1" header="0.5" footer="0.5"/>
  <pageSetup scale="49" orientation="landscape" horizontalDpi="4294967292" verticalDpi="4294967292" r:id="rId1"/>
  <headerFooter alignWithMargins="0">
    <oddHeader>&amp;C&amp;"Arial,Bold"PROPRIETARY 
AND  CONFIDENTIAL INFORMATION</oddHeader>
    <oddFooter>&amp;LScot Chambers
&amp;D&amp;CPage _____&amp;R&amp;F
&amp;A</oddFooter>
  </headerFooter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applyStyles="1"/>
    <pageSetUpPr fitToPage="1"/>
  </sheetPr>
  <dimension ref="A1:G876"/>
  <sheetViews>
    <sheetView zoomScale="80" workbookViewId="0">
      <pane ySplit="2" topLeftCell="A3" activePane="bottomLeft" state="frozen"/>
      <selection activeCell="E5" sqref="E5"/>
      <selection pane="bottomLeft" activeCell="B15" sqref="B15"/>
    </sheetView>
  </sheetViews>
  <sheetFormatPr defaultRowHeight="12.75" outlineLevelRow="2"/>
  <cols>
    <col min="1" max="1" width="32.140625" style="22" customWidth="1"/>
    <col min="2" max="2" width="42.5703125" style="22" customWidth="1"/>
    <col min="3" max="3" width="19.5703125" style="22" customWidth="1"/>
    <col min="4" max="4" width="15.7109375" style="22" customWidth="1"/>
    <col min="5" max="5" width="2.5703125" style="22" customWidth="1"/>
    <col min="6" max="7" width="9.42578125" style="337" customWidth="1"/>
    <col min="8" max="16384" width="9.140625" style="22"/>
  </cols>
  <sheetData>
    <row r="1" spans="1:7" ht="18" customHeight="1" thickBot="1">
      <c r="A1" s="332"/>
      <c r="F1" s="22"/>
      <c r="G1" s="22"/>
    </row>
    <row r="2" spans="1:7" ht="17.25" customHeight="1" thickBot="1">
      <c r="A2" s="333" t="s">
        <v>985</v>
      </c>
      <c r="B2" s="334" t="s">
        <v>986</v>
      </c>
      <c r="C2" s="335"/>
      <c r="D2" s="190" t="s">
        <v>987</v>
      </c>
      <c r="F2" s="336" t="s">
        <v>990</v>
      </c>
    </row>
    <row r="3" spans="1:7" s="341" customFormat="1" ht="20.25" customHeight="1" outlineLevel="1">
      <c r="A3" s="338" t="str">
        <f>Scope!A1</f>
        <v>City of Austin 4 x LM6000 Power Project</v>
      </c>
      <c r="B3" s="339"/>
      <c r="C3" s="340"/>
      <c r="D3" s="194"/>
    </row>
    <row r="4" spans="1:7" s="341" customFormat="1" ht="18.75" outlineLevel="1" thickBot="1">
      <c r="A4" s="342" t="s">
        <v>655</v>
      </c>
      <c r="B4" s="343"/>
      <c r="C4" s="344"/>
      <c r="D4" s="197"/>
    </row>
    <row r="5" spans="1:7" s="341" customFormat="1" ht="13.5" outlineLevel="1" thickBot="1">
      <c r="A5" s="345" t="s">
        <v>260</v>
      </c>
      <c r="B5" s="346"/>
      <c r="C5" s="347"/>
      <c r="D5" s="348"/>
    </row>
    <row r="6" spans="1:7" ht="13.5" outlineLevel="2" thickBot="1">
      <c r="A6" s="221"/>
      <c r="B6" s="21" t="s">
        <v>261</v>
      </c>
      <c r="C6" s="349"/>
      <c r="D6" s="223">
        <f>Plt_Staff!H20</f>
        <v>508225.83971199999</v>
      </c>
      <c r="F6" s="22"/>
      <c r="G6" s="22"/>
    </row>
    <row r="7" spans="1:7" ht="13.5" outlineLevel="2" thickBot="1">
      <c r="A7" s="221"/>
      <c r="B7" s="21"/>
      <c r="C7" s="350"/>
      <c r="D7" s="223">
        <f>17*C7</f>
        <v>0</v>
      </c>
      <c r="F7" s="22"/>
      <c r="G7" s="22"/>
    </row>
    <row r="8" spans="1:7" ht="13.5" outlineLevel="2" thickBot="1">
      <c r="A8" s="221"/>
      <c r="B8" s="21"/>
      <c r="C8" s="349"/>
      <c r="D8" s="223">
        <f>C10*C8</f>
        <v>0</v>
      </c>
      <c r="F8" s="22"/>
      <c r="G8" s="22"/>
    </row>
    <row r="9" spans="1:7" ht="13.5" outlineLevel="2" thickBot="1">
      <c r="A9" s="221"/>
      <c r="B9" s="21"/>
      <c r="C9" s="349"/>
      <c r="D9" s="223">
        <f>(C11-C10)*C9</f>
        <v>0</v>
      </c>
      <c r="F9" s="22"/>
      <c r="G9" s="22"/>
    </row>
    <row r="10" spans="1:7" ht="13.5" outlineLevel="2" thickBot="1">
      <c r="A10" s="221"/>
      <c r="B10" s="21"/>
      <c r="C10" s="222"/>
      <c r="D10" s="223"/>
      <c r="F10" s="22"/>
      <c r="G10" s="22"/>
    </row>
    <row r="11" spans="1:7" ht="13.5" outlineLevel="2" thickBot="1">
      <c r="A11" s="221"/>
      <c r="B11" s="21"/>
      <c r="C11" s="222"/>
      <c r="D11" s="223"/>
      <c r="F11" s="22"/>
      <c r="G11" s="22"/>
    </row>
    <row r="12" spans="1:7" ht="13.5" outlineLevel="2" thickBot="1">
      <c r="A12" s="221"/>
      <c r="B12" s="21"/>
      <c r="C12" s="222"/>
      <c r="D12" s="223"/>
      <c r="F12" s="22"/>
      <c r="G12" s="22"/>
    </row>
    <row r="13" spans="1:7" s="341" customFormat="1" ht="13.5" outlineLevel="1" thickBot="1">
      <c r="A13" s="221" t="s">
        <v>262</v>
      </c>
      <c r="B13" s="21"/>
      <c r="C13" s="225" t="s">
        <v>1005</v>
      </c>
      <c r="D13" s="226">
        <f>SUBTOTAL(9,D6:D10)</f>
        <v>508225.83971199999</v>
      </c>
    </row>
    <row r="14" spans="1:7" s="341" customFormat="1" ht="13.5" outlineLevel="1" thickBot="1">
      <c r="A14" s="351" t="s">
        <v>785</v>
      </c>
      <c r="B14" s="352"/>
      <c r="C14" s="353"/>
      <c r="D14" s="348"/>
    </row>
    <row r="15" spans="1:7" ht="13.5" outlineLevel="2" thickBot="1">
      <c r="A15" s="221" t="s">
        <v>263</v>
      </c>
      <c r="B15" s="21" t="s">
        <v>291</v>
      </c>
      <c r="C15" s="222"/>
      <c r="D15" s="223">
        <f>4000+20*150+50*15</f>
        <v>7750</v>
      </c>
      <c r="F15" s="22"/>
      <c r="G15" s="22"/>
    </row>
    <row r="16" spans="1:7" ht="13.5" outlineLevel="2" thickBot="1">
      <c r="A16" s="221" t="s">
        <v>264</v>
      </c>
      <c r="B16" s="21" t="s">
        <v>292</v>
      </c>
      <c r="C16" s="222"/>
      <c r="D16" s="223">
        <f>7*1500</f>
        <v>10500</v>
      </c>
      <c r="F16" s="22"/>
      <c r="G16" s="22"/>
    </row>
    <row r="17" spans="1:7" ht="13.5" outlineLevel="2" thickBot="1">
      <c r="A17" s="221" t="s">
        <v>265</v>
      </c>
      <c r="B17" s="21"/>
      <c r="C17" s="222"/>
      <c r="D17" s="223">
        <v>500</v>
      </c>
      <c r="F17" s="22"/>
      <c r="G17" s="22"/>
    </row>
    <row r="18" spans="1:7" ht="13.5" outlineLevel="2" thickBot="1">
      <c r="A18" s="221" t="s">
        <v>266</v>
      </c>
      <c r="B18" s="21" t="s">
        <v>267</v>
      </c>
      <c r="C18" s="222"/>
      <c r="D18" s="223">
        <f>250*12</f>
        <v>3000</v>
      </c>
      <c r="F18" s="22"/>
      <c r="G18" s="22"/>
    </row>
    <row r="19" spans="1:7" ht="13.5" outlineLevel="2" thickBot="1">
      <c r="A19" s="221" t="s">
        <v>268</v>
      </c>
      <c r="B19" s="21" t="s">
        <v>269</v>
      </c>
      <c r="C19" s="222"/>
      <c r="D19" s="223">
        <f>150*Plt_Staff!B20</f>
        <v>750</v>
      </c>
      <c r="F19" s="22"/>
      <c r="G19" s="22"/>
    </row>
    <row r="20" spans="1:7" ht="13.5" outlineLevel="2" thickBot="1">
      <c r="A20" s="221" t="s">
        <v>270</v>
      </c>
      <c r="B20" s="21"/>
      <c r="C20" s="222"/>
      <c r="D20" s="223">
        <v>1200</v>
      </c>
      <c r="F20" s="22"/>
      <c r="G20" s="22"/>
    </row>
    <row r="21" spans="1:7" ht="13.5" outlineLevel="2" thickBot="1">
      <c r="A21" s="221"/>
      <c r="B21" s="21"/>
      <c r="C21" s="222"/>
      <c r="D21" s="223"/>
      <c r="F21" s="22"/>
      <c r="G21" s="22"/>
    </row>
    <row r="22" spans="1:7" s="341" customFormat="1" ht="13.5" outlineLevel="1" thickBot="1">
      <c r="A22" s="221" t="s">
        <v>271</v>
      </c>
      <c r="B22" s="21"/>
      <c r="C22" s="225" t="s">
        <v>1005</v>
      </c>
      <c r="D22" s="226">
        <f>SUBTOTAL(9,D15:D20)</f>
        <v>23700</v>
      </c>
    </row>
    <row r="23" spans="1:7" s="341" customFormat="1" ht="13.5" outlineLevel="1" thickBot="1">
      <c r="A23" s="351" t="s">
        <v>272</v>
      </c>
      <c r="B23" s="352"/>
      <c r="C23" s="353"/>
      <c r="D23" s="348"/>
    </row>
    <row r="24" spans="1:7" s="341" customFormat="1" ht="13.5" outlineLevel="1" thickBot="1">
      <c r="A24" s="221"/>
      <c r="B24" s="21"/>
      <c r="C24" s="222"/>
      <c r="D24" s="223">
        <v>0</v>
      </c>
    </row>
    <row r="25" spans="1:7" s="341" customFormat="1" ht="13.5" outlineLevel="1" thickBot="1">
      <c r="A25" s="221" t="s">
        <v>273</v>
      </c>
      <c r="B25" s="21" t="s">
        <v>274</v>
      </c>
      <c r="C25" s="222"/>
      <c r="D25" s="223">
        <f>800*12</f>
        <v>9600</v>
      </c>
    </row>
    <row r="26" spans="1:7" s="341" customFormat="1" ht="13.5" outlineLevel="1" thickBot="1">
      <c r="A26" s="221" t="s">
        <v>275</v>
      </c>
      <c r="B26" s="21" t="s">
        <v>276</v>
      </c>
      <c r="C26" s="222"/>
      <c r="D26" s="223">
        <f>400*12</f>
        <v>4800</v>
      </c>
    </row>
    <row r="27" spans="1:7" s="341" customFormat="1" ht="13.5" outlineLevel="1" thickBot="1">
      <c r="A27" s="221" t="s">
        <v>277</v>
      </c>
      <c r="B27" s="21" t="s">
        <v>278</v>
      </c>
      <c r="C27" s="222"/>
      <c r="D27" s="223">
        <v>3600</v>
      </c>
    </row>
    <row r="28" spans="1:7" s="341" customFormat="1" ht="13.5" outlineLevel="1" thickBot="1">
      <c r="A28" s="221" t="s">
        <v>279</v>
      </c>
      <c r="B28" s="21" t="s">
        <v>280</v>
      </c>
      <c r="C28" s="222"/>
      <c r="D28" s="223"/>
    </row>
    <row r="29" spans="1:7" s="341" customFormat="1" ht="13.5" outlineLevel="1" thickBot="1">
      <c r="A29" s="221"/>
      <c r="B29" s="21"/>
      <c r="C29" s="222"/>
      <c r="D29" s="226"/>
    </row>
    <row r="30" spans="1:7" s="341" customFormat="1" ht="13.5" outlineLevel="1" thickBot="1">
      <c r="A30" s="221" t="s">
        <v>281</v>
      </c>
      <c r="B30" s="21"/>
      <c r="C30" s="225" t="s">
        <v>1005</v>
      </c>
      <c r="D30" s="226">
        <f>SUBTOTAL(9,D24:D29)</f>
        <v>18000</v>
      </c>
    </row>
    <row r="31" spans="1:7" s="341" customFormat="1" ht="13.5" outlineLevel="1" thickBot="1">
      <c r="A31" s="351" t="s">
        <v>282</v>
      </c>
      <c r="B31" s="352"/>
      <c r="C31" s="353"/>
      <c r="D31" s="348"/>
    </row>
    <row r="32" spans="1:7" ht="13.5" outlineLevel="2" thickBot="1">
      <c r="A32" s="221" t="s">
        <v>283</v>
      </c>
      <c r="B32" s="21"/>
      <c r="C32" s="222"/>
      <c r="D32" s="223">
        <v>2500</v>
      </c>
      <c r="F32" s="22"/>
      <c r="G32" s="22"/>
    </row>
    <row r="33" spans="1:7" ht="13.5" outlineLevel="2" thickBot="1">
      <c r="A33" s="221" t="s">
        <v>794</v>
      </c>
      <c r="B33" s="21" t="s">
        <v>284</v>
      </c>
      <c r="C33" s="222"/>
      <c r="D33" s="223">
        <v>25000</v>
      </c>
      <c r="F33" s="22"/>
      <c r="G33" s="22"/>
    </row>
    <row r="34" spans="1:7" ht="13.5" outlineLevel="2" thickBot="1">
      <c r="A34" s="221" t="s">
        <v>285</v>
      </c>
      <c r="B34" s="21" t="s">
        <v>286</v>
      </c>
      <c r="C34" s="222"/>
      <c r="D34" s="223">
        <v>20000</v>
      </c>
      <c r="F34" s="22"/>
      <c r="G34" s="22"/>
    </row>
    <row r="35" spans="1:7" ht="13.5" outlineLevel="2" thickBot="1">
      <c r="A35" s="221" t="s">
        <v>287</v>
      </c>
      <c r="B35" s="21" t="s">
        <v>288</v>
      </c>
      <c r="C35" s="222"/>
      <c r="D35" s="223">
        <f>2000+4*125</f>
        <v>2500</v>
      </c>
      <c r="F35" s="22"/>
      <c r="G35" s="22"/>
    </row>
    <row r="36" spans="1:7" ht="13.5" outlineLevel="2" thickBot="1">
      <c r="A36" s="221" t="s">
        <v>287</v>
      </c>
      <c r="B36" s="21" t="s">
        <v>289</v>
      </c>
      <c r="C36" s="222" t="s">
        <v>290</v>
      </c>
      <c r="D36" s="223">
        <v>0</v>
      </c>
      <c r="F36" s="22"/>
      <c r="G36" s="22"/>
    </row>
    <row r="37" spans="1:7" ht="13.5" outlineLevel="2" thickBot="1">
      <c r="A37" s="221" t="s">
        <v>336</v>
      </c>
      <c r="B37" s="21"/>
      <c r="C37" s="222"/>
      <c r="D37" s="223">
        <v>0</v>
      </c>
      <c r="F37" s="22"/>
      <c r="G37" s="22"/>
    </row>
    <row r="38" spans="1:7" ht="13.5" outlineLevel="2" thickBot="1">
      <c r="A38" s="221" t="s">
        <v>337</v>
      </c>
      <c r="D38" s="223">
        <v>5000</v>
      </c>
      <c r="F38" s="22"/>
      <c r="G38" s="22"/>
    </row>
    <row r="39" spans="1:7" ht="13.5" outlineLevel="2" thickBot="1">
      <c r="A39" s="221" t="s">
        <v>338</v>
      </c>
      <c r="B39" s="21"/>
      <c r="C39" s="222"/>
      <c r="D39" s="223">
        <v>2000</v>
      </c>
      <c r="F39" s="22"/>
      <c r="G39" s="22"/>
    </row>
    <row r="40" spans="1:7" ht="13.5" outlineLevel="2" thickBot="1">
      <c r="A40" s="221"/>
      <c r="B40" s="21"/>
      <c r="C40" s="222"/>
      <c r="D40" s="223"/>
      <c r="F40" s="22"/>
      <c r="G40" s="22"/>
    </row>
    <row r="41" spans="1:7" s="341" customFormat="1" ht="13.5" outlineLevel="1" thickBot="1">
      <c r="A41" s="221" t="s">
        <v>271</v>
      </c>
      <c r="B41" s="21"/>
      <c r="C41" s="225" t="s">
        <v>1005</v>
      </c>
      <c r="D41" s="226">
        <f>SUBTOTAL(9,D32:D40)</f>
        <v>57000</v>
      </c>
    </row>
    <row r="42" spans="1:7" s="341" customFormat="1" ht="13.5" outlineLevel="1" thickBot="1">
      <c r="A42" s="351" t="s">
        <v>339</v>
      </c>
      <c r="B42" s="352"/>
      <c r="C42" s="353"/>
      <c r="D42" s="348"/>
    </row>
    <row r="43" spans="1:7" ht="13.5" outlineLevel="2" thickBot="1">
      <c r="A43" s="221" t="s">
        <v>283</v>
      </c>
      <c r="B43" s="21"/>
      <c r="C43" s="222"/>
      <c r="D43" s="223">
        <v>2500</v>
      </c>
      <c r="F43" s="22"/>
      <c r="G43" s="22"/>
    </row>
    <row r="44" spans="1:7" ht="13.5" outlineLevel="2" thickBot="1">
      <c r="A44" s="221" t="s">
        <v>794</v>
      </c>
      <c r="B44" s="21"/>
      <c r="C44" s="222"/>
      <c r="D44" s="223"/>
      <c r="F44" s="22"/>
      <c r="G44" s="22"/>
    </row>
    <row r="45" spans="1:7" ht="13.5" outlineLevel="2" thickBot="1">
      <c r="A45" s="221" t="s">
        <v>340</v>
      </c>
      <c r="B45" s="21"/>
      <c r="C45" s="222"/>
      <c r="D45" s="223">
        <v>1000</v>
      </c>
      <c r="F45" s="22"/>
      <c r="G45" s="22"/>
    </row>
    <row r="46" spans="1:7" ht="13.5" outlineLevel="2" thickBot="1">
      <c r="A46" s="221" t="s">
        <v>341</v>
      </c>
      <c r="B46" s="21"/>
      <c r="C46" s="222"/>
      <c r="D46" s="223">
        <v>4000</v>
      </c>
      <c r="F46" s="22"/>
      <c r="G46" s="22"/>
    </row>
    <row r="47" spans="1:7" ht="13.5" outlineLevel="2" thickBot="1">
      <c r="A47" s="221" t="s">
        <v>287</v>
      </c>
      <c r="B47" s="21" t="s">
        <v>342</v>
      </c>
      <c r="C47" s="222"/>
      <c r="D47" s="223">
        <f>2000+4*125</f>
        <v>2500</v>
      </c>
      <c r="F47" s="22"/>
      <c r="G47" s="22"/>
    </row>
    <row r="48" spans="1:7" ht="13.5" outlineLevel="2" thickBot="1">
      <c r="A48" s="221" t="s">
        <v>287</v>
      </c>
      <c r="B48" s="21" t="s">
        <v>343</v>
      </c>
      <c r="C48" s="222"/>
      <c r="D48" s="223"/>
      <c r="F48" s="22"/>
      <c r="G48" s="22"/>
    </row>
    <row r="49" spans="1:7" ht="13.5" outlineLevel="2" thickBot="1">
      <c r="A49" s="221" t="s">
        <v>344</v>
      </c>
      <c r="B49" s="21"/>
      <c r="C49" s="222"/>
      <c r="D49" s="223"/>
      <c r="F49" s="22"/>
      <c r="G49" s="22"/>
    </row>
    <row r="50" spans="1:7" s="341" customFormat="1" ht="13.5" outlineLevel="1" thickBot="1">
      <c r="A50" s="221" t="s">
        <v>271</v>
      </c>
      <c r="B50" s="21"/>
      <c r="C50" s="225" t="s">
        <v>1005</v>
      </c>
      <c r="D50" s="226">
        <f>SUBTOTAL(9,D43:D49)</f>
        <v>10000</v>
      </c>
    </row>
    <row r="51" spans="1:7" s="341" customFormat="1" ht="13.5" outlineLevel="1" thickBot="1">
      <c r="A51" s="351" t="s">
        <v>345</v>
      </c>
      <c r="B51" s="352"/>
      <c r="C51" s="353"/>
      <c r="D51" s="348"/>
    </row>
    <row r="52" spans="1:7" ht="13.5" outlineLevel="2" thickBot="1">
      <c r="A52" s="221" t="s">
        <v>346</v>
      </c>
      <c r="B52" s="21" t="s">
        <v>347</v>
      </c>
      <c r="C52" s="222"/>
      <c r="D52" s="223">
        <f>22900*(180/414)^0.6</f>
        <v>13893.087812823547</v>
      </c>
      <c r="F52" s="22"/>
      <c r="G52" s="22"/>
    </row>
    <row r="53" spans="1:7" ht="13.5" outlineLevel="2" thickBot="1">
      <c r="A53" s="221" t="s">
        <v>348</v>
      </c>
      <c r="B53" s="22" t="s">
        <v>293</v>
      </c>
      <c r="C53" s="222"/>
      <c r="D53" s="223"/>
      <c r="F53" s="22"/>
      <c r="G53" s="22"/>
    </row>
    <row r="54" spans="1:7" ht="13.5" outlineLevel="2" thickBot="1">
      <c r="A54" s="221" t="s">
        <v>349</v>
      </c>
      <c r="B54" s="21"/>
      <c r="C54" s="222"/>
      <c r="D54" s="223"/>
      <c r="F54" s="22"/>
      <c r="G54" s="22"/>
    </row>
    <row r="55" spans="1:7" ht="13.5" outlineLevel="2" thickBot="1">
      <c r="A55" s="221" t="s">
        <v>287</v>
      </c>
      <c r="B55" s="21"/>
      <c r="C55" s="222"/>
      <c r="D55" s="223"/>
      <c r="F55" s="22"/>
      <c r="G55" s="22"/>
    </row>
    <row r="56" spans="1:7" ht="13.5" outlineLevel="2" thickBot="1">
      <c r="A56" s="221" t="s">
        <v>350</v>
      </c>
      <c r="B56" s="21" t="s">
        <v>351</v>
      </c>
      <c r="C56" s="222"/>
      <c r="D56" s="223"/>
      <c r="F56" s="22"/>
      <c r="G56" s="22"/>
    </row>
    <row r="57" spans="1:7" ht="13.5" outlineLevel="2" thickBot="1">
      <c r="A57" s="221" t="s">
        <v>352</v>
      </c>
      <c r="B57" s="21" t="s">
        <v>353</v>
      </c>
      <c r="C57" s="222"/>
      <c r="D57" s="223"/>
      <c r="F57" s="22"/>
      <c r="G57" s="22"/>
    </row>
    <row r="58" spans="1:7" ht="13.5" outlineLevel="2" thickBot="1">
      <c r="A58" s="221" t="s">
        <v>354</v>
      </c>
      <c r="B58" s="21"/>
      <c r="C58" s="222"/>
      <c r="D58" s="223"/>
      <c r="F58" s="22"/>
      <c r="G58" s="22"/>
    </row>
    <row r="59" spans="1:7" ht="13.5" outlineLevel="2" thickBot="1">
      <c r="A59" s="221" t="s">
        <v>355</v>
      </c>
      <c r="B59" s="21"/>
      <c r="C59" s="222"/>
      <c r="D59" s="223"/>
      <c r="F59" s="22"/>
      <c r="G59" s="22"/>
    </row>
    <row r="60" spans="1:7" ht="13.5" outlineLevel="2" thickBot="1">
      <c r="A60" s="221"/>
      <c r="B60" s="21"/>
      <c r="C60" s="222"/>
      <c r="D60" s="223"/>
      <c r="F60" s="22"/>
      <c r="G60" s="22"/>
    </row>
    <row r="61" spans="1:7" s="341" customFormat="1" ht="13.5" outlineLevel="1" thickBot="1">
      <c r="A61" s="221" t="s">
        <v>356</v>
      </c>
      <c r="B61" s="21"/>
      <c r="C61" s="225" t="s">
        <v>1005</v>
      </c>
      <c r="D61" s="226">
        <f>SUBTOTAL(9,D52:D60)</f>
        <v>13893.087812823547</v>
      </c>
    </row>
    <row r="62" spans="1:7" s="341" customFormat="1" ht="13.5" outlineLevel="1" thickBot="1">
      <c r="A62" s="351" t="s">
        <v>789</v>
      </c>
      <c r="B62" s="352"/>
      <c r="C62" s="353"/>
      <c r="D62" s="348"/>
    </row>
    <row r="63" spans="1:7" ht="13.5" outlineLevel="2" thickBot="1">
      <c r="A63" s="221" t="s">
        <v>357</v>
      </c>
      <c r="B63" s="21" t="s">
        <v>294</v>
      </c>
      <c r="C63" s="222"/>
      <c r="D63" s="223">
        <v>2400</v>
      </c>
      <c r="F63" s="22"/>
      <c r="G63" s="22"/>
    </row>
    <row r="64" spans="1:7" ht="13.5" outlineLevel="2" thickBot="1">
      <c r="A64" s="221" t="s">
        <v>358</v>
      </c>
      <c r="B64" s="21" t="s">
        <v>295</v>
      </c>
      <c r="C64" s="222"/>
      <c r="D64" s="223">
        <v>1200</v>
      </c>
      <c r="F64" s="22"/>
      <c r="G64" s="22"/>
    </row>
    <row r="65" spans="1:7" ht="13.5" outlineLevel="2" thickBot="1">
      <c r="A65" s="221" t="s">
        <v>359</v>
      </c>
      <c r="B65" s="21" t="s">
        <v>360</v>
      </c>
      <c r="C65" s="222"/>
      <c r="D65" s="223">
        <f>80*12</f>
        <v>960</v>
      </c>
      <c r="F65" s="22"/>
      <c r="G65" s="22"/>
    </row>
    <row r="66" spans="1:7" ht="13.5" outlineLevel="2" thickBot="1">
      <c r="A66" s="221" t="s">
        <v>287</v>
      </c>
      <c r="B66" s="22" t="s">
        <v>361</v>
      </c>
      <c r="C66" s="222"/>
      <c r="D66" s="223">
        <f>40*100</f>
        <v>4000</v>
      </c>
      <c r="F66" s="22"/>
      <c r="G66" s="22"/>
    </row>
    <row r="67" spans="1:7" ht="13.5" outlineLevel="2" thickBot="1">
      <c r="A67" s="21" t="s">
        <v>1039</v>
      </c>
      <c r="B67" s="22" t="s">
        <v>362</v>
      </c>
      <c r="C67" s="222"/>
      <c r="D67" s="223">
        <v>0</v>
      </c>
      <c r="F67" s="22"/>
      <c r="G67" s="22"/>
    </row>
    <row r="68" spans="1:7" ht="13.5" outlineLevel="2" thickBot="1">
      <c r="A68" s="21" t="s">
        <v>1041</v>
      </c>
      <c r="B68" s="22" t="s">
        <v>362</v>
      </c>
      <c r="C68" s="222"/>
      <c r="D68" s="223">
        <v>0</v>
      </c>
      <c r="F68" s="22"/>
      <c r="G68" s="22"/>
    </row>
    <row r="69" spans="1:7" ht="13.5" outlineLevel="2" thickBot="1">
      <c r="A69" s="21" t="s">
        <v>363</v>
      </c>
      <c r="C69" s="222"/>
      <c r="D69" s="223">
        <v>500</v>
      </c>
      <c r="F69" s="22"/>
      <c r="G69" s="22"/>
    </row>
    <row r="70" spans="1:7" ht="13.5" outlineLevel="2" thickBot="1">
      <c r="A70" s="21" t="s">
        <v>1040</v>
      </c>
      <c r="B70" s="22" t="s">
        <v>362</v>
      </c>
      <c r="C70" s="222"/>
      <c r="D70" s="223">
        <v>0</v>
      </c>
      <c r="F70" s="22"/>
      <c r="G70" s="22"/>
    </row>
    <row r="71" spans="1:7" ht="13.5" outlineLevel="2" thickBot="1">
      <c r="A71" s="22" t="s">
        <v>364</v>
      </c>
      <c r="B71" s="22" t="s">
        <v>1023</v>
      </c>
      <c r="C71" s="222"/>
      <c r="D71" s="223">
        <v>0</v>
      </c>
      <c r="F71" s="22"/>
      <c r="G71" s="22"/>
    </row>
    <row r="72" spans="1:7" ht="13.5" hidden="1" outlineLevel="2" thickBot="1">
      <c r="A72" s="221" t="s">
        <v>1048</v>
      </c>
      <c r="B72" s="21"/>
      <c r="C72" s="222"/>
      <c r="D72" s="223"/>
      <c r="F72" s="22"/>
      <c r="G72" s="22"/>
    </row>
    <row r="73" spans="1:7" ht="13.5" outlineLevel="2" thickBot="1">
      <c r="A73" s="21" t="s">
        <v>365</v>
      </c>
      <c r="B73" s="21" t="s">
        <v>366</v>
      </c>
      <c r="C73" s="222"/>
      <c r="D73" s="223">
        <v>500</v>
      </c>
      <c r="F73" s="22"/>
      <c r="G73" s="22"/>
    </row>
    <row r="74" spans="1:7" ht="13.5" hidden="1" outlineLevel="2" thickBot="1">
      <c r="A74" s="21" t="s">
        <v>273</v>
      </c>
      <c r="B74" s="21"/>
      <c r="C74" s="222"/>
      <c r="D74" s="223"/>
      <c r="F74" s="22"/>
      <c r="G74" s="22"/>
    </row>
    <row r="75" spans="1:7" ht="13.5" outlineLevel="2" thickBot="1">
      <c r="A75" s="221" t="s">
        <v>336</v>
      </c>
      <c r="B75" s="21" t="s">
        <v>367</v>
      </c>
      <c r="C75" s="222"/>
      <c r="D75" s="223">
        <v>3000</v>
      </c>
      <c r="F75" s="22"/>
      <c r="G75" s="22"/>
    </row>
    <row r="76" spans="1:7" ht="13.5" outlineLevel="2" thickBot="1">
      <c r="A76" s="221" t="s">
        <v>368</v>
      </c>
      <c r="B76" s="21"/>
      <c r="C76" s="222"/>
      <c r="D76" s="223">
        <v>1200</v>
      </c>
      <c r="F76" s="22"/>
      <c r="G76" s="22"/>
    </row>
    <row r="77" spans="1:7" ht="13.5" outlineLevel="2" thickBot="1">
      <c r="A77" s="221" t="s">
        <v>354</v>
      </c>
      <c r="B77" s="21"/>
      <c r="C77" s="222"/>
      <c r="D77" s="223">
        <v>2000</v>
      </c>
      <c r="F77" s="22"/>
      <c r="G77" s="22"/>
    </row>
    <row r="78" spans="1:7" ht="13.5" outlineLevel="2" thickBot="1">
      <c r="A78" s="221" t="s">
        <v>369</v>
      </c>
      <c r="B78" s="21" t="s">
        <v>370</v>
      </c>
      <c r="C78" s="222"/>
      <c r="D78" s="223">
        <v>1800</v>
      </c>
      <c r="F78" s="22"/>
      <c r="G78" s="22"/>
    </row>
    <row r="79" spans="1:7" ht="13.5" outlineLevel="2" thickBot="1">
      <c r="A79" s="221" t="s">
        <v>371</v>
      </c>
      <c r="B79" s="21" t="s">
        <v>372</v>
      </c>
      <c r="C79" s="222"/>
      <c r="D79" s="223">
        <v>1000</v>
      </c>
      <c r="F79" s="22"/>
      <c r="G79" s="22"/>
    </row>
    <row r="80" spans="1:7" ht="13.5" outlineLevel="2" thickBot="1">
      <c r="A80" s="221" t="s">
        <v>373</v>
      </c>
      <c r="B80" s="21" t="s">
        <v>374</v>
      </c>
      <c r="C80" s="222"/>
      <c r="D80" s="223">
        <v>1500</v>
      </c>
      <c r="F80" s="22"/>
      <c r="G80" s="22"/>
    </row>
    <row r="81" spans="1:7" ht="13.5" outlineLevel="2" thickBot="1">
      <c r="A81" s="221" t="s">
        <v>375</v>
      </c>
      <c r="B81" s="21"/>
      <c r="C81" s="222"/>
      <c r="D81" s="223"/>
      <c r="F81" s="22"/>
      <c r="G81" s="22"/>
    </row>
    <row r="82" spans="1:7" ht="13.5" outlineLevel="2" thickBot="1">
      <c r="A82" s="221" t="s">
        <v>376</v>
      </c>
      <c r="B82" s="21"/>
      <c r="C82" s="222"/>
      <c r="D82" s="223">
        <v>2000</v>
      </c>
      <c r="F82" s="22"/>
      <c r="G82" s="22"/>
    </row>
    <row r="83" spans="1:7" ht="13.5" outlineLevel="2" thickBot="1">
      <c r="A83" s="221" t="s">
        <v>377</v>
      </c>
      <c r="B83" s="21"/>
      <c r="C83" s="222"/>
      <c r="D83" s="223">
        <v>5000</v>
      </c>
      <c r="F83" s="22"/>
      <c r="G83" s="22"/>
    </row>
    <row r="84" spans="1:7" ht="13.5" outlineLevel="2" thickBot="1">
      <c r="A84" s="221" t="s">
        <v>378</v>
      </c>
      <c r="B84" s="21" t="s">
        <v>379</v>
      </c>
      <c r="C84" s="222"/>
      <c r="D84" s="223">
        <v>0</v>
      </c>
      <c r="F84" s="22"/>
      <c r="G84" s="22"/>
    </row>
    <row r="85" spans="1:7" ht="13.5" outlineLevel="2" thickBot="1">
      <c r="A85" s="221" t="s">
        <v>380</v>
      </c>
      <c r="B85" s="21"/>
      <c r="C85" s="222"/>
      <c r="D85" s="223">
        <v>2500</v>
      </c>
      <c r="F85" s="22"/>
      <c r="G85" s="22"/>
    </row>
    <row r="86" spans="1:7" ht="13.5" outlineLevel="2" thickBot="1">
      <c r="A86" s="221" t="s">
        <v>381</v>
      </c>
      <c r="B86" s="21"/>
      <c r="C86" s="222"/>
      <c r="D86" s="223">
        <v>0</v>
      </c>
      <c r="F86" s="22"/>
      <c r="G86" s="22"/>
    </row>
    <row r="87" spans="1:7" ht="13.5" outlineLevel="2" thickBot="1">
      <c r="A87" s="221" t="s">
        <v>382</v>
      </c>
      <c r="B87" s="21" t="s">
        <v>296</v>
      </c>
      <c r="C87" s="222"/>
      <c r="D87" s="223">
        <v>0</v>
      </c>
      <c r="F87" s="22"/>
      <c r="G87" s="22"/>
    </row>
    <row r="88" spans="1:7" ht="13.5" outlineLevel="2" thickBot="1">
      <c r="A88" s="221" t="s">
        <v>383</v>
      </c>
      <c r="B88" s="21" t="s">
        <v>384</v>
      </c>
      <c r="C88" s="222"/>
      <c r="D88" s="223">
        <v>500</v>
      </c>
      <c r="F88" s="22"/>
      <c r="G88" s="22"/>
    </row>
    <row r="89" spans="1:7" ht="13.5" outlineLevel="2" thickBot="1">
      <c r="A89" s="221" t="s">
        <v>385</v>
      </c>
      <c r="B89" s="21" t="s">
        <v>386</v>
      </c>
      <c r="C89" s="222"/>
      <c r="D89" s="223">
        <f>SUM(D288:D294)</f>
        <v>3140</v>
      </c>
      <c r="F89" s="22"/>
      <c r="G89" s="22"/>
    </row>
    <row r="90" spans="1:7" ht="13.5" outlineLevel="2" thickBot="1">
      <c r="A90" s="221" t="s">
        <v>387</v>
      </c>
      <c r="B90" s="21" t="s">
        <v>921</v>
      </c>
      <c r="C90" s="222"/>
      <c r="D90" s="223">
        <f>D296</f>
        <v>0</v>
      </c>
      <c r="F90" s="22"/>
      <c r="G90" s="22"/>
    </row>
    <row r="91" spans="1:7" ht="13.5" outlineLevel="2" thickBot="1">
      <c r="A91" s="221"/>
      <c r="B91" s="21"/>
      <c r="C91" s="222"/>
      <c r="D91" s="223"/>
      <c r="F91" s="22"/>
      <c r="G91" s="22"/>
    </row>
    <row r="92" spans="1:7" s="341" customFormat="1" ht="13.5" outlineLevel="1" thickBot="1">
      <c r="A92" s="221"/>
      <c r="B92" s="21"/>
      <c r="C92" s="225" t="s">
        <v>1005</v>
      </c>
      <c r="D92" s="226">
        <f>SUBTOTAL(9,D63:D91)</f>
        <v>33200</v>
      </c>
    </row>
    <row r="93" spans="1:7" s="341" customFormat="1" ht="13.5" outlineLevel="1" thickBot="1">
      <c r="A93" s="351" t="s">
        <v>790</v>
      </c>
      <c r="B93" s="352"/>
      <c r="C93" s="353"/>
      <c r="D93" s="348"/>
    </row>
    <row r="94" spans="1:7" ht="13.5" outlineLevel="2" thickBot="1">
      <c r="A94" s="221" t="s">
        <v>388</v>
      </c>
      <c r="B94" s="21" t="s">
        <v>389</v>
      </c>
      <c r="C94" s="222"/>
      <c r="D94" s="223">
        <v>6000</v>
      </c>
      <c r="F94" s="22"/>
      <c r="G94" s="22"/>
    </row>
    <row r="95" spans="1:7" ht="13.5" outlineLevel="2" thickBot="1">
      <c r="A95" s="221" t="s">
        <v>390</v>
      </c>
      <c r="B95" s="21" t="s">
        <v>391</v>
      </c>
      <c r="C95" s="222"/>
      <c r="D95" s="223">
        <f>2*300*12</f>
        <v>7200</v>
      </c>
      <c r="F95" s="22"/>
      <c r="G95" s="22"/>
    </row>
    <row r="96" spans="1:7" ht="13.5" outlineLevel="2" thickBot="1">
      <c r="A96" s="221" t="s">
        <v>392</v>
      </c>
      <c r="B96" s="21" t="s">
        <v>393</v>
      </c>
      <c r="C96" s="222"/>
      <c r="D96" s="223"/>
      <c r="F96" s="22"/>
      <c r="G96" s="22"/>
    </row>
    <row r="97" spans="1:7" s="341" customFormat="1" ht="13.5" outlineLevel="1" thickBot="1">
      <c r="A97" s="221"/>
      <c r="B97" s="21"/>
      <c r="C97" s="225" t="s">
        <v>1005</v>
      </c>
      <c r="D97" s="226">
        <f>SUBTOTAL(9,D94:D96)</f>
        <v>13200</v>
      </c>
    </row>
    <row r="98" spans="1:7" s="341" customFormat="1" ht="13.5" outlineLevel="1" thickBot="1">
      <c r="A98" s="351" t="s">
        <v>394</v>
      </c>
      <c r="B98" s="352"/>
      <c r="C98" s="353"/>
      <c r="D98" s="348"/>
    </row>
    <row r="99" spans="1:7" ht="13.5" outlineLevel="2" thickBot="1">
      <c r="A99" s="221" t="s">
        <v>394</v>
      </c>
      <c r="B99" s="21"/>
      <c r="C99" s="222"/>
      <c r="D99" s="223">
        <v>0</v>
      </c>
      <c r="F99" s="22"/>
      <c r="G99" s="22"/>
    </row>
    <row r="100" spans="1:7" ht="13.5" outlineLevel="2" thickBot="1">
      <c r="A100" s="221"/>
      <c r="B100" s="21"/>
      <c r="C100" s="222"/>
      <c r="D100" s="223"/>
      <c r="F100" s="22"/>
      <c r="G100" s="22"/>
    </row>
    <row r="101" spans="1:7" s="341" customFormat="1" ht="13.5" outlineLevel="1" thickBot="1">
      <c r="A101" s="221" t="s">
        <v>395</v>
      </c>
      <c r="B101" s="21"/>
      <c r="C101" s="225" t="s">
        <v>1005</v>
      </c>
      <c r="D101" s="226">
        <f>SUBTOTAL(9,D99:D100)</f>
        <v>0</v>
      </c>
    </row>
    <row r="102" spans="1:7" s="341" customFormat="1" ht="13.5" outlineLevel="1" thickBot="1">
      <c r="A102" s="351" t="s">
        <v>396</v>
      </c>
      <c r="B102" s="352"/>
      <c r="C102" s="353"/>
      <c r="D102" s="348"/>
    </row>
    <row r="103" spans="1:7" ht="13.5" outlineLevel="2" thickBot="1">
      <c r="A103" s="221" t="s">
        <v>287</v>
      </c>
      <c r="B103" s="21" t="s">
        <v>397</v>
      </c>
      <c r="C103" s="222"/>
      <c r="D103" s="223">
        <v>2400</v>
      </c>
      <c r="F103" s="22"/>
      <c r="G103" s="22"/>
    </row>
    <row r="104" spans="1:7" ht="13.5" outlineLevel="2" thickBot="1">
      <c r="A104" s="221" t="s">
        <v>398</v>
      </c>
      <c r="B104" s="21"/>
      <c r="C104" s="222"/>
      <c r="D104" s="223">
        <v>1000</v>
      </c>
      <c r="F104" s="22"/>
      <c r="G104" s="22"/>
    </row>
    <row r="105" spans="1:7" ht="13.5" outlineLevel="2" thickBot="1">
      <c r="A105" s="221" t="s">
        <v>399</v>
      </c>
      <c r="B105" s="21"/>
      <c r="C105" s="222"/>
      <c r="D105" s="223"/>
      <c r="F105" s="22"/>
      <c r="G105" s="22"/>
    </row>
    <row r="106" spans="1:7" ht="13.5" outlineLevel="2" thickBot="1">
      <c r="A106" s="221" t="s">
        <v>400</v>
      </c>
      <c r="B106" s="21"/>
      <c r="C106" s="222"/>
      <c r="D106" s="223">
        <v>1000</v>
      </c>
      <c r="F106" s="22"/>
      <c r="G106" s="22"/>
    </row>
    <row r="107" spans="1:7" ht="13.5" outlineLevel="2" thickBot="1">
      <c r="A107" s="221" t="s">
        <v>401</v>
      </c>
      <c r="B107" s="21"/>
      <c r="C107" s="222"/>
      <c r="D107" s="223"/>
      <c r="F107" s="22"/>
      <c r="G107" s="22"/>
    </row>
    <row r="108" spans="1:7" ht="13.5" outlineLevel="2" thickBot="1">
      <c r="A108" s="221" t="s">
        <v>336</v>
      </c>
      <c r="B108" s="21"/>
      <c r="C108" s="222"/>
      <c r="D108" s="223"/>
      <c r="F108" s="22"/>
      <c r="G108" s="22"/>
    </row>
    <row r="109" spans="1:7" ht="13.5" outlineLevel="2" thickBot="1">
      <c r="A109" s="221" t="s">
        <v>1115</v>
      </c>
      <c r="B109" s="21" t="s">
        <v>402</v>
      </c>
      <c r="C109" s="222"/>
      <c r="D109" s="223">
        <f>0.05*0.75*D103</f>
        <v>90.000000000000014</v>
      </c>
      <c r="F109" s="22"/>
      <c r="G109" s="22"/>
    </row>
    <row r="110" spans="1:7" ht="13.5" outlineLevel="2" thickBot="1">
      <c r="A110" s="221"/>
      <c r="B110" s="21"/>
      <c r="C110" s="222"/>
      <c r="D110" s="223"/>
      <c r="F110" s="22"/>
      <c r="G110" s="22"/>
    </row>
    <row r="111" spans="1:7" s="341" customFormat="1" ht="13.5" outlineLevel="1" thickBot="1">
      <c r="A111" s="221" t="s">
        <v>403</v>
      </c>
      <c r="B111" s="21"/>
      <c r="C111" s="225" t="s">
        <v>1005</v>
      </c>
      <c r="D111" s="226">
        <f>SUBTOTAL(9,D103:D110)</f>
        <v>4490</v>
      </c>
    </row>
    <row r="112" spans="1:7" s="341" customFormat="1" ht="13.5" outlineLevel="1" thickBot="1">
      <c r="A112" s="351" t="s">
        <v>404</v>
      </c>
      <c r="B112" s="352"/>
      <c r="C112" s="353"/>
      <c r="D112" s="348"/>
    </row>
    <row r="113" spans="1:7" ht="13.5" outlineLevel="2" thickBot="1">
      <c r="A113" s="221" t="s">
        <v>796</v>
      </c>
      <c r="B113" s="21" t="s">
        <v>1124</v>
      </c>
      <c r="C113" s="222"/>
      <c r="D113" s="223">
        <f>1*350*30</f>
        <v>10500</v>
      </c>
      <c r="F113" s="22"/>
      <c r="G113" s="22"/>
    </row>
    <row r="114" spans="1:7" ht="13.5" outlineLevel="2" thickBot="1">
      <c r="A114" s="221" t="s">
        <v>1125</v>
      </c>
      <c r="B114" s="21" t="s">
        <v>405</v>
      </c>
      <c r="C114" s="222"/>
      <c r="D114" s="223">
        <f>1*125*30</f>
        <v>3750</v>
      </c>
      <c r="F114" s="22"/>
      <c r="G114" s="22"/>
    </row>
    <row r="115" spans="1:7" ht="13.5" outlineLevel="2" thickBot="1">
      <c r="A115" s="221" t="s">
        <v>1127</v>
      </c>
      <c r="B115" s="21" t="s">
        <v>406</v>
      </c>
      <c r="C115" s="222"/>
      <c r="D115" s="223">
        <v>1000</v>
      </c>
      <c r="F115" s="22"/>
      <c r="G115" s="22"/>
    </row>
    <row r="116" spans="1:7" ht="13.5" outlineLevel="2" thickBot="1">
      <c r="A116" s="221" t="s">
        <v>407</v>
      </c>
      <c r="B116" s="21" t="s">
        <v>408</v>
      </c>
      <c r="C116" s="222"/>
      <c r="D116" s="223">
        <v>0</v>
      </c>
      <c r="F116" s="22"/>
      <c r="G116" s="22"/>
    </row>
    <row r="117" spans="1:7" ht="13.5" outlineLevel="2" thickBot="1">
      <c r="A117" s="221"/>
      <c r="B117" s="21"/>
      <c r="C117" s="222"/>
      <c r="D117" s="223"/>
      <c r="F117" s="22"/>
      <c r="G117" s="22"/>
    </row>
    <row r="118" spans="1:7" s="341" customFormat="1" ht="13.5" outlineLevel="1" thickBot="1">
      <c r="A118" s="221" t="s">
        <v>409</v>
      </c>
      <c r="B118" s="21"/>
      <c r="C118" s="225" t="s">
        <v>1005</v>
      </c>
      <c r="D118" s="226">
        <f>SUBTOTAL(9,D113:D116)</f>
        <v>15250</v>
      </c>
    </row>
    <row r="119" spans="1:7" s="341" customFormat="1" ht="13.5" outlineLevel="1" thickBot="1">
      <c r="A119" s="351" t="s">
        <v>410</v>
      </c>
      <c r="B119" s="352"/>
      <c r="C119" s="353"/>
      <c r="D119" s="348"/>
    </row>
    <row r="120" spans="1:7" ht="13.5" outlineLevel="2" thickBot="1">
      <c r="A120" s="221" t="s">
        <v>287</v>
      </c>
      <c r="B120" s="21"/>
      <c r="C120" s="222"/>
      <c r="D120" s="223">
        <v>0</v>
      </c>
      <c r="F120" s="22"/>
      <c r="G120" s="22"/>
    </row>
    <row r="121" spans="1:7" ht="13.5" outlineLevel="2" thickBot="1">
      <c r="A121" s="221" t="s">
        <v>411</v>
      </c>
      <c r="B121" s="21"/>
      <c r="C121" s="354"/>
      <c r="D121" s="223">
        <v>2244</v>
      </c>
      <c r="F121" s="23"/>
    </row>
    <row r="122" spans="1:7" ht="13.5" outlineLevel="2" thickBot="1">
      <c r="A122" s="221" t="s">
        <v>298</v>
      </c>
      <c r="B122" s="21" t="s">
        <v>299</v>
      </c>
      <c r="C122" s="355"/>
      <c r="D122" s="223">
        <f>0.3/1000*4*67*60*1300</f>
        <v>6271.2</v>
      </c>
      <c r="F122" s="22"/>
      <c r="G122" s="22"/>
    </row>
    <row r="123" spans="1:7" ht="13.5" outlineLevel="2" thickBot="1">
      <c r="A123" s="221" t="s">
        <v>412</v>
      </c>
      <c r="C123" s="355"/>
      <c r="D123" s="223"/>
      <c r="F123" s="22"/>
      <c r="G123" s="22"/>
    </row>
    <row r="124" spans="1:7" ht="13.5" outlineLevel="2" thickBot="1">
      <c r="A124" s="221" t="s">
        <v>413</v>
      </c>
      <c r="B124" s="21" t="s">
        <v>414</v>
      </c>
      <c r="C124" s="355"/>
      <c r="D124" s="223">
        <v>23160</v>
      </c>
      <c r="F124" s="22"/>
      <c r="G124" s="22"/>
    </row>
    <row r="125" spans="1:7" ht="13.5" outlineLevel="2" thickBot="1">
      <c r="A125" s="221" t="s">
        <v>415</v>
      </c>
      <c r="B125" s="21"/>
      <c r="C125" s="355"/>
      <c r="D125" s="223"/>
      <c r="F125" s="22"/>
      <c r="G125" s="22"/>
    </row>
    <row r="126" spans="1:7" ht="13.5" outlineLevel="2" thickBot="1">
      <c r="A126" s="221" t="s">
        <v>416</v>
      </c>
      <c r="B126" s="21"/>
      <c r="C126" s="222"/>
      <c r="D126" s="223">
        <v>30095</v>
      </c>
      <c r="F126" s="22"/>
      <c r="G126" s="22"/>
    </row>
    <row r="127" spans="1:7" ht="13.5" outlineLevel="2" thickBot="1">
      <c r="A127" s="221" t="s">
        <v>417</v>
      </c>
      <c r="B127" s="21" t="s">
        <v>408</v>
      </c>
      <c r="C127" s="222"/>
      <c r="D127" s="223"/>
      <c r="F127" s="22"/>
      <c r="G127" s="22"/>
    </row>
    <row r="128" spans="1:7" ht="13.5" outlineLevel="2" thickBot="1">
      <c r="A128" s="221" t="s">
        <v>418</v>
      </c>
      <c r="B128" s="21" t="s">
        <v>297</v>
      </c>
      <c r="C128" s="222"/>
      <c r="D128" s="223">
        <f>4*46*1300*0.2</f>
        <v>47840</v>
      </c>
      <c r="F128" s="22"/>
      <c r="G128" s="22"/>
    </row>
    <row r="129" spans="1:7" ht="13.5" outlineLevel="2" thickBot="1">
      <c r="A129" s="221" t="s">
        <v>419</v>
      </c>
      <c r="B129" s="21" t="s">
        <v>420</v>
      </c>
      <c r="C129" s="222"/>
      <c r="D129" s="223"/>
      <c r="F129" s="22"/>
      <c r="G129" s="22"/>
    </row>
    <row r="130" spans="1:7" ht="13.5" outlineLevel="2" thickBot="1">
      <c r="A130" s="221" t="s">
        <v>421</v>
      </c>
      <c r="B130" s="21"/>
      <c r="C130" s="222"/>
      <c r="D130" s="223">
        <v>2000</v>
      </c>
      <c r="F130" s="22"/>
      <c r="G130" s="22"/>
    </row>
    <row r="131" spans="1:7" ht="13.5" outlineLevel="2" thickBot="1">
      <c r="A131" s="221" t="s">
        <v>422</v>
      </c>
      <c r="B131" s="21" t="s">
        <v>423</v>
      </c>
      <c r="C131" s="222"/>
      <c r="D131" s="223">
        <v>10000</v>
      </c>
      <c r="F131" s="22"/>
      <c r="G131" s="22"/>
    </row>
    <row r="132" spans="1:7" ht="13.5" outlineLevel="2" thickBot="1">
      <c r="A132" s="221" t="s">
        <v>424</v>
      </c>
      <c r="B132" s="21" t="s">
        <v>425</v>
      </c>
      <c r="C132" s="222"/>
      <c r="D132" s="223">
        <f>0.05*SUM(D121:D130)</f>
        <v>5580.51</v>
      </c>
      <c r="F132" s="22"/>
      <c r="G132" s="22"/>
    </row>
    <row r="133" spans="1:7" ht="13.5" outlineLevel="2" thickBot="1">
      <c r="A133" s="221"/>
      <c r="B133" s="21"/>
      <c r="C133" s="222"/>
      <c r="D133" s="223"/>
      <c r="F133" s="22"/>
      <c r="G133" s="22"/>
    </row>
    <row r="134" spans="1:7" s="341" customFormat="1" ht="13.5" outlineLevel="1" thickBot="1">
      <c r="A134" s="221" t="s">
        <v>426</v>
      </c>
      <c r="B134" s="21"/>
      <c r="C134" s="225" t="s">
        <v>1005</v>
      </c>
      <c r="D134" s="226">
        <f>SUBTOTAL(9,D120:D133)</f>
        <v>127190.70999999999</v>
      </c>
    </row>
    <row r="135" spans="1:7" s="341" customFormat="1" ht="13.5" outlineLevel="1" thickBot="1">
      <c r="A135" s="351" t="s">
        <v>427</v>
      </c>
      <c r="B135" s="352"/>
      <c r="C135" s="353"/>
      <c r="D135" s="348"/>
    </row>
    <row r="136" spans="1:7" ht="13.5" outlineLevel="2" thickBot="1">
      <c r="A136" s="221" t="s">
        <v>428</v>
      </c>
      <c r="B136" s="22" t="s">
        <v>300</v>
      </c>
      <c r="C136" s="222"/>
      <c r="D136" s="223">
        <f>70000*(180/414)^0.6</f>
        <v>42467.954012997739</v>
      </c>
      <c r="F136" s="22"/>
      <c r="G136" s="22"/>
    </row>
    <row r="137" spans="1:7" ht="13.5" outlineLevel="2" thickBot="1">
      <c r="A137" s="221" t="s">
        <v>287</v>
      </c>
      <c r="B137" s="21" t="s">
        <v>347</v>
      </c>
      <c r="C137" s="222"/>
      <c r="D137" s="223"/>
      <c r="F137" s="22"/>
      <c r="G137" s="22"/>
    </row>
    <row r="138" spans="1:7" ht="13.5" outlineLevel="2" thickBot="1">
      <c r="A138" s="221" t="s">
        <v>429</v>
      </c>
      <c r="B138" s="117"/>
      <c r="C138" s="222"/>
      <c r="D138" s="223"/>
      <c r="F138" s="22"/>
      <c r="G138" s="22"/>
    </row>
    <row r="139" spans="1:7" ht="13.5" outlineLevel="2" thickBot="1">
      <c r="A139" s="221" t="s">
        <v>430</v>
      </c>
      <c r="B139" s="21"/>
      <c r="C139" s="222"/>
      <c r="D139" s="223"/>
      <c r="G139" s="22"/>
    </row>
    <row r="140" spans="1:7" ht="13.5" outlineLevel="2" thickBot="1">
      <c r="A140" s="221" t="s">
        <v>1094</v>
      </c>
      <c r="B140" s="21"/>
      <c r="C140" s="222"/>
      <c r="D140" s="223"/>
      <c r="F140" s="22"/>
      <c r="G140" s="22"/>
    </row>
    <row r="141" spans="1:7" ht="13.5" outlineLevel="2" thickBot="1">
      <c r="A141" s="221"/>
      <c r="B141" s="21"/>
      <c r="C141" s="222"/>
      <c r="D141" s="223"/>
      <c r="F141" s="22"/>
      <c r="G141" s="22"/>
    </row>
    <row r="142" spans="1:7" s="341" customFormat="1" ht="13.5" outlineLevel="1" thickBot="1">
      <c r="A142" s="221" t="s">
        <v>431</v>
      </c>
      <c r="B142" s="21"/>
      <c r="C142" s="225" t="s">
        <v>1005</v>
      </c>
      <c r="D142" s="226">
        <f>SUBTOTAL(9,D136:D141)</f>
        <v>42467.954012997739</v>
      </c>
      <c r="F142" s="22"/>
    </row>
    <row r="143" spans="1:7" s="341" customFormat="1" ht="13.5" outlineLevel="1" thickBot="1">
      <c r="A143" s="351" t="s">
        <v>432</v>
      </c>
      <c r="B143" s="352"/>
      <c r="C143" s="353"/>
      <c r="D143" s="348"/>
    </row>
    <row r="144" spans="1:7" ht="13.5" outlineLevel="2" thickBot="1">
      <c r="A144" s="221" t="s">
        <v>433</v>
      </c>
      <c r="B144" s="21" t="s">
        <v>301</v>
      </c>
      <c r="C144" s="222" t="s">
        <v>436</v>
      </c>
      <c r="D144" s="223">
        <f>4*3375</f>
        <v>13500</v>
      </c>
      <c r="F144" s="22"/>
      <c r="G144" s="22"/>
    </row>
    <row r="145" spans="1:7" ht="13.5" outlineLevel="2" thickBot="1">
      <c r="A145" s="221" t="s">
        <v>435</v>
      </c>
      <c r="B145" s="21"/>
      <c r="D145" s="223"/>
      <c r="F145" s="22"/>
      <c r="G145" s="22"/>
    </row>
    <row r="146" spans="1:7" ht="13.5" outlineLevel="2" thickBot="1">
      <c r="A146" s="221" t="s">
        <v>287</v>
      </c>
      <c r="B146" s="117"/>
      <c r="C146" s="222"/>
      <c r="D146" s="223"/>
      <c r="F146" s="22"/>
      <c r="G146" s="22"/>
    </row>
    <row r="147" spans="1:7" ht="13.5" outlineLevel="2" thickBot="1">
      <c r="A147" s="221" t="s">
        <v>429</v>
      </c>
      <c r="B147" s="21"/>
      <c r="C147" s="222"/>
      <c r="D147" s="223"/>
      <c r="F147" s="22"/>
      <c r="G147" s="22"/>
    </row>
    <row r="148" spans="1:7" ht="13.5" outlineLevel="2" thickBot="1">
      <c r="A148" s="221" t="s">
        <v>430</v>
      </c>
      <c r="B148" s="21"/>
      <c r="C148" s="222"/>
      <c r="D148" s="223"/>
      <c r="F148" s="22"/>
      <c r="G148" s="22"/>
    </row>
    <row r="149" spans="1:7" ht="13.5" outlineLevel="2" thickBot="1">
      <c r="A149" s="221" t="s">
        <v>1094</v>
      </c>
      <c r="B149" s="21"/>
      <c r="C149" s="222"/>
      <c r="D149" s="223"/>
      <c r="F149" s="22"/>
      <c r="G149" s="22"/>
    </row>
    <row r="150" spans="1:7" ht="13.5" outlineLevel="2" thickBot="1">
      <c r="A150" s="221" t="s">
        <v>1115</v>
      </c>
      <c r="B150" s="21" t="s">
        <v>402</v>
      </c>
      <c r="C150" s="222"/>
      <c r="D150" s="223">
        <f>0.05*0.75*D144</f>
        <v>506.25000000000006</v>
      </c>
      <c r="F150" s="22"/>
      <c r="G150" s="22"/>
    </row>
    <row r="151" spans="1:7" ht="13.5" outlineLevel="2" thickBot="1">
      <c r="A151" s="221"/>
      <c r="B151" s="21"/>
      <c r="C151" s="222"/>
      <c r="D151" s="223"/>
      <c r="F151" s="22"/>
      <c r="G151" s="22"/>
    </row>
    <row r="152" spans="1:7" s="341" customFormat="1" ht="13.5" outlineLevel="1" thickBot="1">
      <c r="A152" s="221" t="s">
        <v>437</v>
      </c>
      <c r="B152" s="21"/>
      <c r="C152" s="225" t="s">
        <v>1005</v>
      </c>
      <c r="D152" s="226">
        <f>SUBTOTAL(9,D144:D151)</f>
        <v>14006.25</v>
      </c>
    </row>
    <row r="153" spans="1:7" s="341" customFormat="1" ht="13.5" outlineLevel="1" thickBot="1">
      <c r="A153" s="351" t="s">
        <v>438</v>
      </c>
      <c r="B153" s="352"/>
      <c r="C153" s="353"/>
      <c r="D153" s="348"/>
    </row>
    <row r="154" spans="1:7" ht="13.5" outlineLevel="2" thickBot="1">
      <c r="A154" s="221" t="s">
        <v>433</v>
      </c>
      <c r="B154" s="21" t="s">
        <v>302</v>
      </c>
      <c r="C154" s="222"/>
      <c r="D154" s="223">
        <f>9816*(133000/180000)^0.6*2500/2500</f>
        <v>8186.1939756039319</v>
      </c>
      <c r="F154" s="22">
        <f>67*4*60*8.3</f>
        <v>133464</v>
      </c>
      <c r="G154" s="22"/>
    </row>
    <row r="155" spans="1:7" ht="13.5" outlineLevel="2" thickBot="1">
      <c r="A155" s="221" t="s">
        <v>435</v>
      </c>
      <c r="B155" s="21" t="s">
        <v>439</v>
      </c>
      <c r="C155" s="222"/>
      <c r="D155" s="223"/>
      <c r="F155" s="22"/>
      <c r="G155" s="22"/>
    </row>
    <row r="156" spans="1:7" ht="13.5" outlineLevel="2" thickBot="1">
      <c r="A156" s="221" t="s">
        <v>287</v>
      </c>
      <c r="B156" s="117"/>
      <c r="C156" s="222"/>
      <c r="D156" s="223"/>
      <c r="F156" s="22"/>
      <c r="G156" s="22"/>
    </row>
    <row r="157" spans="1:7" ht="13.5" outlineLevel="2" thickBot="1">
      <c r="A157" s="221" t="s">
        <v>440</v>
      </c>
      <c r="B157" s="21" t="s">
        <v>314</v>
      </c>
      <c r="C157" s="222"/>
      <c r="D157" s="223"/>
      <c r="F157" s="22"/>
      <c r="G157" s="22"/>
    </row>
    <row r="158" spans="1:7" ht="13.5" outlineLevel="2" thickBot="1">
      <c r="A158" s="221" t="s">
        <v>430</v>
      </c>
      <c r="B158" s="21"/>
      <c r="C158" s="222"/>
      <c r="D158" s="223"/>
      <c r="F158" s="22"/>
      <c r="G158" s="22"/>
    </row>
    <row r="159" spans="1:7" ht="13.5" outlineLevel="2" thickBot="1">
      <c r="A159" s="221" t="s">
        <v>1094</v>
      </c>
      <c r="B159" s="21"/>
      <c r="C159" s="222"/>
      <c r="D159" s="223"/>
      <c r="F159" s="22"/>
      <c r="G159" s="22"/>
    </row>
    <row r="160" spans="1:7" ht="13.5" outlineLevel="2" thickBot="1">
      <c r="A160" s="221" t="s">
        <v>1115</v>
      </c>
      <c r="B160" s="21" t="s">
        <v>402</v>
      </c>
      <c r="C160" s="222"/>
      <c r="D160" s="223">
        <f>0.05*0.75*(D156+D154)</f>
        <v>306.98227408514748</v>
      </c>
      <c r="F160" s="22"/>
      <c r="G160" s="22"/>
    </row>
    <row r="161" spans="1:7" s="341" customFormat="1" ht="13.5" outlineLevel="1" thickBot="1">
      <c r="A161" s="221" t="s">
        <v>437</v>
      </c>
      <c r="B161" s="21"/>
      <c r="C161" s="225" t="s">
        <v>1005</v>
      </c>
      <c r="D161" s="226">
        <f>SUBTOTAL(9,D154:D160)</f>
        <v>8493.1762496890788</v>
      </c>
    </row>
    <row r="162" spans="1:7" s="341" customFormat="1" ht="13.5" outlineLevel="1" thickBot="1">
      <c r="A162" s="351" t="s">
        <v>441</v>
      </c>
      <c r="B162" s="352"/>
      <c r="C162" s="353"/>
      <c r="D162" s="348"/>
    </row>
    <row r="163" spans="1:7" ht="13.5" outlineLevel="2" thickBot="1">
      <c r="A163" s="221" t="s">
        <v>433</v>
      </c>
      <c r="B163" s="21" t="s">
        <v>442</v>
      </c>
      <c r="C163" s="222"/>
      <c r="D163" s="223">
        <f>179000*(180/414)^0.6*0.75</f>
        <v>81447.468946356385</v>
      </c>
      <c r="F163" s="22"/>
      <c r="G163" s="22"/>
    </row>
    <row r="164" spans="1:7" ht="13.5" outlineLevel="2" thickBot="1">
      <c r="A164" s="221" t="s">
        <v>435</v>
      </c>
      <c r="B164" s="21" t="s">
        <v>303</v>
      </c>
      <c r="C164" s="222"/>
      <c r="D164" s="223"/>
      <c r="F164" s="22"/>
      <c r="G164" s="22"/>
    </row>
    <row r="165" spans="1:7" ht="13.5" outlineLevel="2" thickBot="1">
      <c r="A165" s="221" t="s">
        <v>287</v>
      </c>
      <c r="B165" s="117" t="s">
        <v>443</v>
      </c>
      <c r="C165" s="222"/>
      <c r="D165" s="223"/>
      <c r="F165" s="22"/>
      <c r="G165" s="22"/>
    </row>
    <row r="166" spans="1:7" ht="13.5" outlineLevel="2" thickBot="1">
      <c r="A166" s="221" t="s">
        <v>440</v>
      </c>
      <c r="B166" s="21"/>
      <c r="C166" s="222"/>
      <c r="D166" s="223"/>
      <c r="F166" s="22"/>
      <c r="G166" s="22"/>
    </row>
    <row r="167" spans="1:7" ht="13.5" outlineLevel="2" thickBot="1">
      <c r="A167" s="221" t="s">
        <v>430</v>
      </c>
      <c r="B167" s="21"/>
      <c r="C167" s="222"/>
      <c r="D167" s="223"/>
      <c r="F167" s="22"/>
      <c r="G167" s="22"/>
    </row>
    <row r="168" spans="1:7" ht="13.5" outlineLevel="2" thickBot="1">
      <c r="A168" s="221" t="s">
        <v>1094</v>
      </c>
      <c r="B168" s="21"/>
      <c r="C168" s="222"/>
      <c r="D168" s="223"/>
      <c r="F168" s="22"/>
      <c r="G168" s="22"/>
    </row>
    <row r="169" spans="1:7" ht="13.5" outlineLevel="2" thickBot="1">
      <c r="A169" s="221" t="s">
        <v>1115</v>
      </c>
      <c r="B169" s="21" t="s">
        <v>402</v>
      </c>
      <c r="C169" s="222"/>
      <c r="D169" s="223">
        <f>0.05*0.75*D163</f>
        <v>3054.2800854883649</v>
      </c>
      <c r="F169" s="22"/>
      <c r="G169" s="22"/>
    </row>
    <row r="170" spans="1:7" ht="13.5" outlineLevel="2" thickBot="1">
      <c r="A170" s="221"/>
      <c r="B170" s="21"/>
      <c r="C170" s="222"/>
      <c r="D170" s="223"/>
      <c r="F170" s="22"/>
      <c r="G170" s="22"/>
    </row>
    <row r="171" spans="1:7" s="341" customFormat="1" ht="13.5" outlineLevel="1" thickBot="1">
      <c r="A171" s="221" t="s">
        <v>431</v>
      </c>
      <c r="B171" s="21"/>
      <c r="C171" s="225" t="s">
        <v>1005</v>
      </c>
      <c r="D171" s="226">
        <f>SUBTOTAL(9,D163:D170)</f>
        <v>84501.749031844753</v>
      </c>
    </row>
    <row r="172" spans="1:7" s="341" customFormat="1" ht="13.5" outlineLevel="1" thickBot="1">
      <c r="A172" s="351" t="s">
        <v>444</v>
      </c>
      <c r="B172" s="352"/>
      <c r="C172" s="353"/>
      <c r="D172" s="348"/>
    </row>
    <row r="173" spans="1:7" ht="13.5" outlineLevel="2" thickBot="1">
      <c r="A173" s="221" t="s">
        <v>433</v>
      </c>
      <c r="B173" s="21" t="s">
        <v>445</v>
      </c>
      <c r="C173" s="222"/>
      <c r="D173" s="223">
        <f>94000*0.25+0.75*94000*(4/4.5)*(46.5/104)^0.6</f>
        <v>62162.36020522863</v>
      </c>
      <c r="F173" s="22"/>
      <c r="G173" s="22"/>
    </row>
    <row r="174" spans="1:7" ht="13.5" outlineLevel="2" thickBot="1">
      <c r="A174" s="221" t="s">
        <v>446</v>
      </c>
      <c r="B174" s="21" t="s">
        <v>447</v>
      </c>
      <c r="C174" s="222"/>
      <c r="D174" s="223"/>
      <c r="F174" s="22"/>
      <c r="G174" s="22"/>
    </row>
    <row r="175" spans="1:7" ht="13.5" outlineLevel="2" thickBot="1">
      <c r="A175" s="221" t="s">
        <v>435</v>
      </c>
      <c r="B175" s="21" t="s">
        <v>448</v>
      </c>
      <c r="C175" s="222"/>
      <c r="D175" s="223"/>
      <c r="F175" s="22"/>
      <c r="G175" s="22"/>
    </row>
    <row r="176" spans="1:7" ht="13.5" outlineLevel="2" thickBot="1">
      <c r="A176" s="221" t="s">
        <v>287</v>
      </c>
      <c r="B176" s="21" t="s">
        <v>449</v>
      </c>
      <c r="C176" s="222"/>
      <c r="D176" s="223"/>
      <c r="F176" s="22"/>
      <c r="G176" s="22"/>
    </row>
    <row r="177" spans="1:7" ht="13.5" outlineLevel="2" thickBot="1">
      <c r="A177" s="221" t="s">
        <v>440</v>
      </c>
      <c r="B177" s="21" t="s">
        <v>450</v>
      </c>
      <c r="C177" s="222"/>
      <c r="D177" s="223"/>
      <c r="F177" s="22"/>
      <c r="G177" s="22"/>
    </row>
    <row r="178" spans="1:7" ht="13.5" outlineLevel="2" thickBot="1">
      <c r="A178" s="221" t="s">
        <v>430</v>
      </c>
      <c r="B178" s="21"/>
      <c r="C178" s="222"/>
      <c r="D178" s="223"/>
      <c r="F178" s="22"/>
      <c r="G178" s="22"/>
    </row>
    <row r="179" spans="1:7" ht="13.5" outlineLevel="2" thickBot="1">
      <c r="A179" s="221" t="s">
        <v>1094</v>
      </c>
      <c r="B179" s="21"/>
      <c r="C179" s="222"/>
      <c r="D179" s="223"/>
      <c r="F179" s="22"/>
      <c r="G179" s="22"/>
    </row>
    <row r="180" spans="1:7" ht="13.5" outlineLevel="2" thickBot="1">
      <c r="A180" s="221" t="s">
        <v>1115</v>
      </c>
      <c r="B180" s="21" t="s">
        <v>451</v>
      </c>
      <c r="C180" s="222"/>
      <c r="D180" s="223">
        <f>0.05*0.11*D173</f>
        <v>341.89298112875747</v>
      </c>
      <c r="F180" s="22"/>
      <c r="G180" s="22"/>
    </row>
    <row r="181" spans="1:7" ht="13.5" outlineLevel="2" thickBot="1">
      <c r="A181" s="221"/>
      <c r="B181" s="21"/>
      <c r="C181" s="222"/>
      <c r="D181" s="223"/>
      <c r="F181" s="22"/>
      <c r="G181" s="22"/>
    </row>
    <row r="182" spans="1:7" s="341" customFormat="1" ht="13.5" outlineLevel="1" thickBot="1">
      <c r="A182" s="221" t="s">
        <v>437</v>
      </c>
      <c r="B182" s="21"/>
      <c r="C182" s="225" t="s">
        <v>1005</v>
      </c>
      <c r="D182" s="226">
        <f>SUBTOTAL(9,D173:D181)</f>
        <v>62504.253186357389</v>
      </c>
    </row>
    <row r="183" spans="1:7" s="341" customFormat="1" ht="13.5" outlineLevel="1" thickBot="1">
      <c r="A183" s="351" t="s">
        <v>452</v>
      </c>
      <c r="B183" s="352"/>
      <c r="C183" s="353"/>
      <c r="D183" s="348"/>
    </row>
    <row r="184" spans="1:7" ht="13.5" outlineLevel="2" thickBot="1">
      <c r="A184" s="221" t="s">
        <v>433</v>
      </c>
      <c r="B184" s="356" t="s">
        <v>304</v>
      </c>
      <c r="C184" s="222" t="s">
        <v>436</v>
      </c>
      <c r="D184" s="223">
        <f>4*35000</f>
        <v>140000</v>
      </c>
      <c r="F184" s="22"/>
      <c r="G184" s="22"/>
    </row>
    <row r="185" spans="1:7" ht="13.5" outlineLevel="2" thickBot="1">
      <c r="A185" s="221" t="s">
        <v>435</v>
      </c>
      <c r="B185" s="22" t="s">
        <v>305</v>
      </c>
      <c r="C185" s="222" t="s">
        <v>434</v>
      </c>
      <c r="D185" s="223">
        <f>22000/2000*1300*4</f>
        <v>57200</v>
      </c>
      <c r="F185" s="22"/>
      <c r="G185" s="22"/>
    </row>
    <row r="186" spans="1:7" ht="13.5" outlineLevel="2" thickBot="1">
      <c r="A186" s="221" t="s">
        <v>287</v>
      </c>
      <c r="B186" s="21" t="s">
        <v>453</v>
      </c>
      <c r="C186" s="222"/>
      <c r="D186" s="223"/>
      <c r="F186" s="22"/>
      <c r="G186" s="22"/>
    </row>
    <row r="187" spans="1:7" ht="13.5" outlineLevel="2" thickBot="1">
      <c r="A187" s="221" t="s">
        <v>440</v>
      </c>
      <c r="B187" s="21" t="s">
        <v>454</v>
      </c>
      <c r="C187" s="222"/>
      <c r="D187" s="223"/>
      <c r="F187" s="22"/>
      <c r="G187" s="22"/>
    </row>
    <row r="188" spans="1:7" ht="13.5" outlineLevel="2" thickBot="1">
      <c r="A188" s="221" t="s">
        <v>455</v>
      </c>
      <c r="B188" s="117" t="s">
        <v>456</v>
      </c>
      <c r="C188" s="222"/>
      <c r="D188" s="223"/>
      <c r="F188" s="22" t="s">
        <v>307</v>
      </c>
      <c r="G188" s="22"/>
    </row>
    <row r="189" spans="1:7" ht="13.5" outlineLevel="2" thickBot="1">
      <c r="A189" s="221" t="s">
        <v>1094</v>
      </c>
      <c r="B189" s="21" t="s">
        <v>457</v>
      </c>
      <c r="C189" s="222"/>
      <c r="D189" s="223"/>
      <c r="F189" s="22"/>
      <c r="G189" s="22"/>
    </row>
    <row r="190" spans="1:7" ht="13.5" outlineLevel="2" thickBot="1">
      <c r="A190" s="221" t="s">
        <v>1115</v>
      </c>
      <c r="B190" s="21" t="s">
        <v>402</v>
      </c>
      <c r="C190" s="222"/>
      <c r="D190" s="223">
        <f>0.05*0.75*(D185+D184)</f>
        <v>7395.0000000000009</v>
      </c>
      <c r="F190" s="22"/>
      <c r="G190" s="22"/>
    </row>
    <row r="191" spans="1:7" ht="13.5" outlineLevel="2" thickBot="1">
      <c r="A191" s="221"/>
      <c r="B191" s="21"/>
      <c r="C191" s="222"/>
      <c r="D191" s="223"/>
      <c r="F191" s="22"/>
      <c r="G191" s="22"/>
    </row>
    <row r="192" spans="1:7" s="341" customFormat="1" ht="13.5" outlineLevel="1" thickBot="1">
      <c r="A192" s="221" t="s">
        <v>306</v>
      </c>
      <c r="B192" s="21"/>
      <c r="C192" s="225" t="s">
        <v>1005</v>
      </c>
      <c r="D192" s="226">
        <f>SUBTOTAL(9,D184:D191)</f>
        <v>204595</v>
      </c>
    </row>
    <row r="193" spans="1:7" s="341" customFormat="1" ht="13.5" outlineLevel="1" thickBot="1">
      <c r="A193" s="351" t="s">
        <v>310</v>
      </c>
      <c r="B193" s="352"/>
      <c r="C193" s="353"/>
      <c r="D193" s="348"/>
    </row>
    <row r="194" spans="1:7" ht="13.5" outlineLevel="2" thickBot="1">
      <c r="A194" s="221" t="s">
        <v>458</v>
      </c>
      <c r="C194" s="222"/>
      <c r="D194" s="223">
        <v>0</v>
      </c>
      <c r="F194" s="22">
        <f>337000/3*(47/104)^0.6</f>
        <v>69750.505167877549</v>
      </c>
      <c r="G194" s="22"/>
    </row>
    <row r="195" spans="1:7" ht="13.5" outlineLevel="2" thickBot="1">
      <c r="A195" s="221" t="s">
        <v>459</v>
      </c>
      <c r="B195" s="22" t="s">
        <v>460</v>
      </c>
      <c r="C195" s="222"/>
      <c r="D195" s="223">
        <v>0</v>
      </c>
      <c r="F195" s="22"/>
      <c r="G195" s="22"/>
    </row>
    <row r="196" spans="1:7" ht="13.5" outlineLevel="2" thickBot="1">
      <c r="A196" s="221" t="s">
        <v>461</v>
      </c>
      <c r="B196" s="21"/>
      <c r="C196" s="222"/>
      <c r="D196" s="223">
        <v>0</v>
      </c>
      <c r="F196" s="22"/>
      <c r="G196" s="22"/>
    </row>
    <row r="197" spans="1:7" ht="13.5" outlineLevel="2" thickBot="1">
      <c r="A197" s="221" t="s">
        <v>462</v>
      </c>
      <c r="B197" s="357"/>
      <c r="C197" s="222"/>
      <c r="D197" s="223">
        <v>0</v>
      </c>
      <c r="F197" s="22"/>
      <c r="G197" s="22"/>
    </row>
    <row r="198" spans="1:7" ht="13.5" outlineLevel="2" thickBot="1">
      <c r="A198" s="221" t="s">
        <v>463</v>
      </c>
      <c r="B198" s="117"/>
      <c r="C198" s="222"/>
      <c r="D198" s="223">
        <v>0</v>
      </c>
      <c r="F198" s="22"/>
      <c r="G198" s="22"/>
    </row>
    <row r="199" spans="1:7" ht="13.5" outlineLevel="2" thickBot="1">
      <c r="A199" s="221" t="s">
        <v>464</v>
      </c>
      <c r="B199" s="21" t="s">
        <v>465</v>
      </c>
      <c r="C199" s="222"/>
      <c r="D199" s="223">
        <v>0</v>
      </c>
      <c r="F199" s="22"/>
      <c r="G199" s="22"/>
    </row>
    <row r="200" spans="1:7" ht="13.5" outlineLevel="2" thickBot="1">
      <c r="A200" s="221" t="s">
        <v>308</v>
      </c>
      <c r="B200" s="21" t="s">
        <v>309</v>
      </c>
      <c r="C200" s="222"/>
      <c r="D200" s="223">
        <f>0.02*1200000*4</f>
        <v>96000</v>
      </c>
      <c r="F200" s="22"/>
      <c r="G200" s="22"/>
    </row>
    <row r="201" spans="1:7" ht="13.5" outlineLevel="2" thickBot="1">
      <c r="A201" s="221" t="s">
        <v>1115</v>
      </c>
      <c r="B201" s="21"/>
      <c r="C201" s="222"/>
      <c r="D201" s="223">
        <f>0.05*0.75*SUM(D194:D199)</f>
        <v>0</v>
      </c>
      <c r="F201" s="22"/>
      <c r="G201" s="22"/>
    </row>
    <row r="202" spans="1:7" ht="13.5" outlineLevel="2" thickBot="1">
      <c r="A202" s="221"/>
      <c r="B202" s="21"/>
      <c r="C202" s="222"/>
      <c r="D202" s="223"/>
      <c r="F202" s="22"/>
      <c r="G202" s="22"/>
    </row>
    <row r="203" spans="1:7" s="341" customFormat="1" ht="13.5" outlineLevel="1" thickBot="1">
      <c r="A203" s="221" t="s">
        <v>466</v>
      </c>
      <c r="B203" s="21"/>
      <c r="C203" s="225" t="s">
        <v>1005</v>
      </c>
      <c r="D203" s="226">
        <f>SUBTOTAL(9,D194:D202)</f>
        <v>96000</v>
      </c>
    </row>
    <row r="204" spans="1:7" s="341" customFormat="1" ht="13.5" outlineLevel="1" thickBot="1">
      <c r="A204" s="351" t="s">
        <v>467</v>
      </c>
      <c r="B204" s="352"/>
      <c r="C204" s="353"/>
      <c r="D204" s="348"/>
    </row>
    <row r="205" spans="1:7" ht="13.5" outlineLevel="2" thickBot="1">
      <c r="A205" s="221" t="s">
        <v>468</v>
      </c>
      <c r="B205" s="21"/>
      <c r="C205" s="222"/>
      <c r="D205" s="223">
        <v>0</v>
      </c>
      <c r="F205" s="22"/>
      <c r="G205" s="22"/>
    </row>
    <row r="206" spans="1:7" ht="13.5" outlineLevel="2" thickBot="1">
      <c r="A206" s="221" t="s">
        <v>435</v>
      </c>
      <c r="B206" s="21"/>
      <c r="C206" s="222"/>
      <c r="D206" s="223"/>
      <c r="F206" s="22"/>
      <c r="G206" s="22"/>
    </row>
    <row r="207" spans="1:7" ht="13.5" outlineLevel="2" thickBot="1">
      <c r="A207" s="221" t="s">
        <v>287</v>
      </c>
      <c r="B207" s="117"/>
      <c r="C207" s="222"/>
      <c r="D207" s="223"/>
      <c r="F207" s="22"/>
      <c r="G207" s="22"/>
    </row>
    <row r="208" spans="1:7" ht="13.5" outlineLevel="2" thickBot="1">
      <c r="A208" s="221" t="s">
        <v>469</v>
      </c>
      <c r="B208" s="21"/>
      <c r="C208" s="222"/>
      <c r="D208" s="223"/>
      <c r="F208" s="22"/>
      <c r="G208" s="22"/>
    </row>
    <row r="209" spans="1:7" ht="13.5" outlineLevel="2" thickBot="1">
      <c r="A209" s="221" t="s">
        <v>430</v>
      </c>
      <c r="B209" s="21"/>
      <c r="C209" s="222"/>
      <c r="D209" s="223"/>
      <c r="F209" s="22"/>
      <c r="G209" s="22"/>
    </row>
    <row r="210" spans="1:7" ht="13.5" outlineLevel="2" thickBot="1">
      <c r="A210" s="221" t="s">
        <v>1094</v>
      </c>
      <c r="B210" s="357" t="s">
        <v>470</v>
      </c>
      <c r="C210" s="222"/>
      <c r="D210" s="223"/>
      <c r="F210" s="22"/>
      <c r="G210" s="22"/>
    </row>
    <row r="211" spans="1:7" ht="13.5" outlineLevel="2" thickBot="1">
      <c r="A211" s="221" t="s">
        <v>471</v>
      </c>
      <c r="B211" s="21"/>
      <c r="C211" s="222"/>
      <c r="D211" s="223"/>
      <c r="F211" s="22"/>
      <c r="G211" s="22"/>
    </row>
    <row r="212" spans="1:7" ht="13.5" outlineLevel="2" thickBot="1">
      <c r="A212" s="221" t="s">
        <v>1115</v>
      </c>
      <c r="B212" s="21"/>
      <c r="C212" s="222"/>
      <c r="D212" s="223">
        <f>0.01*0.75*D205</f>
        <v>0</v>
      </c>
      <c r="F212" s="22"/>
      <c r="G212" s="22"/>
    </row>
    <row r="213" spans="1:7" ht="13.5" outlineLevel="2" thickBot="1">
      <c r="A213" s="221"/>
      <c r="B213" s="21"/>
      <c r="C213" s="222"/>
      <c r="D213" s="223"/>
      <c r="F213" s="22"/>
      <c r="G213" s="22"/>
    </row>
    <row r="214" spans="1:7" s="341" customFormat="1" ht="13.5" outlineLevel="1" thickBot="1">
      <c r="A214" s="221"/>
      <c r="B214" s="21"/>
      <c r="C214" s="225" t="s">
        <v>1005</v>
      </c>
      <c r="D214" s="226">
        <f>SUBTOTAL(9,D205:D213)</f>
        <v>0</v>
      </c>
    </row>
    <row r="215" spans="1:7" s="341" customFormat="1" ht="13.5" outlineLevel="1" thickBot="1">
      <c r="A215" s="351" t="s">
        <v>472</v>
      </c>
      <c r="B215" s="352"/>
      <c r="C215" s="353"/>
      <c r="D215" s="348"/>
    </row>
    <row r="216" spans="1:7" ht="13.5" outlineLevel="2" thickBot="1">
      <c r="A216" s="221" t="s">
        <v>433</v>
      </c>
      <c r="B216" s="21"/>
      <c r="C216" s="222"/>
      <c r="D216" s="223">
        <v>1850</v>
      </c>
      <c r="F216" s="22"/>
      <c r="G216" s="22"/>
    </row>
    <row r="217" spans="1:7" ht="13.5" outlineLevel="2" thickBot="1">
      <c r="A217" s="221" t="s">
        <v>435</v>
      </c>
      <c r="B217" s="21"/>
      <c r="C217" s="222"/>
      <c r="D217" s="223"/>
      <c r="F217" s="22"/>
      <c r="G217" s="22"/>
    </row>
    <row r="218" spans="1:7" ht="13.5" outlineLevel="2" thickBot="1">
      <c r="A218" s="221" t="s">
        <v>287</v>
      </c>
      <c r="B218" s="21"/>
      <c r="C218" s="222"/>
      <c r="D218" s="223"/>
      <c r="F218" s="22"/>
      <c r="G218" s="22"/>
    </row>
    <row r="219" spans="1:7" ht="13.5" outlineLevel="2" thickBot="1">
      <c r="A219" s="221" t="s">
        <v>440</v>
      </c>
      <c r="B219" s="21"/>
      <c r="C219" s="222"/>
      <c r="D219" s="223"/>
      <c r="F219" s="22"/>
      <c r="G219" s="22"/>
    </row>
    <row r="220" spans="1:7" ht="13.5" outlineLevel="2" thickBot="1">
      <c r="A220" s="221" t="s">
        <v>430</v>
      </c>
      <c r="B220" s="357"/>
      <c r="C220" s="222"/>
      <c r="D220" s="223"/>
      <c r="F220" s="22"/>
      <c r="G220" s="22"/>
    </row>
    <row r="221" spans="1:7" ht="13.5" outlineLevel="2" thickBot="1">
      <c r="A221" s="221" t="s">
        <v>1094</v>
      </c>
      <c r="B221" s="21"/>
      <c r="C221" s="222"/>
      <c r="D221" s="223"/>
      <c r="F221" s="22"/>
      <c r="G221" s="22"/>
    </row>
    <row r="222" spans="1:7" ht="13.5" outlineLevel="2" thickBot="1">
      <c r="A222" s="221" t="s">
        <v>1115</v>
      </c>
      <c r="B222" s="21"/>
      <c r="C222" s="222"/>
      <c r="D222" s="223">
        <f>0.05*0.75*D216</f>
        <v>69.375000000000014</v>
      </c>
      <c r="F222" s="22"/>
      <c r="G222" s="22"/>
    </row>
    <row r="223" spans="1:7" ht="13.5" outlineLevel="2" thickBot="1">
      <c r="A223" s="221"/>
      <c r="B223" s="21"/>
      <c r="C223" s="222"/>
      <c r="D223" s="223"/>
      <c r="F223" s="22"/>
      <c r="G223" s="22"/>
    </row>
    <row r="224" spans="1:7" s="341" customFormat="1" ht="13.5" outlineLevel="1" thickBot="1">
      <c r="A224" s="221" t="s">
        <v>466</v>
      </c>
      <c r="B224" s="21"/>
      <c r="C224" s="225" t="s">
        <v>1005</v>
      </c>
      <c r="D224" s="226">
        <f>SUBTOTAL(9,D216:D223)</f>
        <v>1919.375</v>
      </c>
    </row>
    <row r="225" spans="1:7" s="341" customFormat="1" ht="13.5" outlineLevel="1" thickBot="1">
      <c r="A225" s="351" t="s">
        <v>473</v>
      </c>
      <c r="B225" s="352"/>
      <c r="C225" s="353"/>
      <c r="D225" s="348"/>
    </row>
    <row r="226" spans="1:7" ht="13.5" outlineLevel="2" thickBot="1">
      <c r="A226" s="221" t="s">
        <v>433</v>
      </c>
      <c r="B226" s="21"/>
      <c r="C226" s="222"/>
      <c r="D226" s="223">
        <v>2500</v>
      </c>
      <c r="F226" s="22"/>
      <c r="G226" s="22"/>
    </row>
    <row r="227" spans="1:7" ht="13.5" outlineLevel="2" thickBot="1">
      <c r="A227" s="221" t="s">
        <v>435</v>
      </c>
      <c r="B227" s="21"/>
      <c r="C227" s="222"/>
      <c r="D227" s="223">
        <v>0</v>
      </c>
      <c r="F227" s="22"/>
      <c r="G227" s="22"/>
    </row>
    <row r="228" spans="1:7" ht="13.5" outlineLevel="2" thickBot="1">
      <c r="A228" s="221" t="s">
        <v>287</v>
      </c>
      <c r="B228" s="21"/>
      <c r="C228" s="222"/>
      <c r="D228" s="223"/>
      <c r="F228" s="22"/>
      <c r="G228" s="22"/>
    </row>
    <row r="229" spans="1:7" ht="13.5" outlineLevel="2" thickBot="1">
      <c r="A229" s="221" t="s">
        <v>440</v>
      </c>
      <c r="B229" s="21"/>
      <c r="C229" s="222"/>
      <c r="D229" s="223"/>
      <c r="F229" s="22"/>
      <c r="G229" s="22"/>
    </row>
    <row r="230" spans="1:7" ht="13.5" outlineLevel="2" thickBot="1">
      <c r="A230" s="221" t="s">
        <v>430</v>
      </c>
      <c r="B230" s="21"/>
      <c r="C230" s="222"/>
      <c r="D230" s="223"/>
      <c r="F230" s="22"/>
      <c r="G230" s="22"/>
    </row>
    <row r="231" spans="1:7" ht="13.5" outlineLevel="2" thickBot="1">
      <c r="A231" s="221" t="s">
        <v>1094</v>
      </c>
      <c r="B231" s="357"/>
      <c r="C231" s="222"/>
      <c r="D231" s="223"/>
      <c r="F231" s="22"/>
      <c r="G231" s="22"/>
    </row>
    <row r="232" spans="1:7" ht="13.5" outlineLevel="2" thickBot="1">
      <c r="A232" s="221" t="s">
        <v>1115</v>
      </c>
      <c r="B232" s="21"/>
      <c r="C232" s="222"/>
      <c r="D232" s="223">
        <f>0.05*0.75*D226</f>
        <v>93.750000000000014</v>
      </c>
      <c r="F232" s="22"/>
      <c r="G232" s="22"/>
    </row>
    <row r="233" spans="1:7" ht="13.5" outlineLevel="2" thickBot="1">
      <c r="A233" s="221"/>
      <c r="B233" s="21"/>
      <c r="C233" s="222"/>
      <c r="D233" s="223"/>
      <c r="F233" s="22"/>
      <c r="G233" s="22"/>
    </row>
    <row r="234" spans="1:7" s="341" customFormat="1" ht="13.5" outlineLevel="1" thickBot="1">
      <c r="A234" s="221" t="s">
        <v>474</v>
      </c>
      <c r="B234" s="21"/>
      <c r="C234" s="225" t="s">
        <v>1005</v>
      </c>
      <c r="D234" s="226">
        <f>SUBTOTAL(9,D226:D233)</f>
        <v>2593.75</v>
      </c>
    </row>
    <row r="235" spans="1:7" s="341" customFormat="1" ht="13.5" outlineLevel="1" thickBot="1">
      <c r="A235" s="351" t="s">
        <v>475</v>
      </c>
      <c r="B235" s="352"/>
      <c r="C235" s="353"/>
      <c r="D235" s="348"/>
    </row>
    <row r="236" spans="1:7" ht="13.5" outlineLevel="2" thickBot="1">
      <c r="A236" s="221" t="s">
        <v>476</v>
      </c>
      <c r="B236"/>
      <c r="C236" s="222"/>
      <c r="D236" s="223">
        <v>5000</v>
      </c>
      <c r="F236" s="22"/>
      <c r="G236" s="22"/>
    </row>
    <row r="237" spans="1:7" ht="13.5" hidden="1" outlineLevel="2" thickBot="1">
      <c r="A237" s="221" t="s">
        <v>477</v>
      </c>
      <c r="B237" s="21"/>
      <c r="C237" s="222"/>
      <c r="D237" s="223"/>
      <c r="F237" s="22"/>
      <c r="G237" s="22"/>
    </row>
    <row r="238" spans="1:7" ht="13.5" hidden="1" outlineLevel="2" thickBot="1">
      <c r="A238" s="221" t="s">
        <v>478</v>
      </c>
      <c r="B238" s="117"/>
      <c r="C238" s="222"/>
      <c r="D238" s="223"/>
      <c r="F238" s="22"/>
      <c r="G238" s="22"/>
    </row>
    <row r="239" spans="1:7" ht="13.5" hidden="1" outlineLevel="2" thickBot="1">
      <c r="A239" s="221" t="s">
        <v>479</v>
      </c>
      <c r="B239" s="21"/>
      <c r="C239" s="222"/>
      <c r="D239" s="223"/>
      <c r="F239" s="22"/>
      <c r="G239" s="22"/>
    </row>
    <row r="240" spans="1:7" ht="13.5" outlineLevel="2" thickBot="1">
      <c r="A240" s="221" t="s">
        <v>480</v>
      </c>
      <c r="B240" s="21"/>
      <c r="C240" s="222"/>
      <c r="D240" s="223">
        <v>6000</v>
      </c>
      <c r="F240" s="22"/>
      <c r="G240" s="22"/>
    </row>
    <row r="241" spans="1:7" ht="13.5" outlineLevel="2" thickBot="1">
      <c r="A241" s="221" t="s">
        <v>481</v>
      </c>
      <c r="B241" s="21"/>
      <c r="C241" s="222"/>
      <c r="D241" s="223">
        <v>24000</v>
      </c>
      <c r="F241" s="22"/>
      <c r="G241" s="22"/>
    </row>
    <row r="242" spans="1:7" ht="13.5" outlineLevel="2" thickBot="1">
      <c r="A242" s="221" t="s">
        <v>482</v>
      </c>
      <c r="B242" s="21"/>
      <c r="C242" s="222"/>
      <c r="D242" s="223">
        <v>10500</v>
      </c>
      <c r="F242" s="22"/>
      <c r="G242" s="22"/>
    </row>
    <row r="243" spans="1:7" ht="13.5" outlineLevel="2" thickBot="1">
      <c r="A243" s="221" t="s">
        <v>483</v>
      </c>
      <c r="B243" s="21"/>
      <c r="C243" s="222"/>
      <c r="D243" s="223">
        <v>50000</v>
      </c>
      <c r="F243" s="22"/>
      <c r="G243" s="22"/>
    </row>
    <row r="244" spans="1:7" ht="13.5" outlineLevel="2" thickBot="1">
      <c r="A244" s="221" t="s">
        <v>484</v>
      </c>
      <c r="B244" s="21"/>
      <c r="C244" s="222"/>
      <c r="D244" s="223">
        <v>20000</v>
      </c>
      <c r="F244" s="22"/>
      <c r="G244" s="22"/>
    </row>
    <row r="245" spans="1:7" ht="13.5" outlineLevel="2" thickBot="1">
      <c r="A245" s="221" t="s">
        <v>485</v>
      </c>
      <c r="B245" s="21"/>
      <c r="C245" s="222"/>
      <c r="D245" s="223">
        <v>4000</v>
      </c>
      <c r="F245" s="22"/>
      <c r="G245" s="22"/>
    </row>
    <row r="246" spans="1:7" ht="13.5" outlineLevel="2" thickBot="1">
      <c r="A246" s="221" t="s">
        <v>486</v>
      </c>
      <c r="B246" s="21"/>
      <c r="C246" s="222"/>
      <c r="D246" s="223">
        <v>5000</v>
      </c>
      <c r="F246" s="22"/>
      <c r="G246" s="22"/>
    </row>
    <row r="247" spans="1:7" ht="13.5" outlineLevel="2" thickBot="1">
      <c r="A247" s="221" t="s">
        <v>487</v>
      </c>
      <c r="B247" s="21"/>
      <c r="C247" s="222"/>
      <c r="D247" s="223">
        <v>500</v>
      </c>
      <c r="F247" s="22"/>
      <c r="G247" s="22"/>
    </row>
    <row r="248" spans="1:7" ht="13.5" outlineLevel="2" thickBot="1">
      <c r="A248" s="221" t="s">
        <v>488</v>
      </c>
      <c r="B248" s="21"/>
      <c r="C248" s="222"/>
      <c r="D248" s="223"/>
      <c r="F248" s="22"/>
      <c r="G248" s="22"/>
    </row>
    <row r="249" spans="1:7" ht="13.5" outlineLevel="2" thickBot="1">
      <c r="A249" s="221" t="s">
        <v>489</v>
      </c>
      <c r="B249" s="21"/>
      <c r="C249" s="222"/>
      <c r="D249" s="223"/>
      <c r="F249" s="22"/>
      <c r="G249" s="22"/>
    </row>
    <row r="250" spans="1:7" ht="13.5" outlineLevel="2" thickBot="1">
      <c r="A250" s="221" t="s">
        <v>490</v>
      </c>
      <c r="B250" s="21"/>
      <c r="C250" s="222"/>
      <c r="D250" s="223"/>
      <c r="F250" s="22"/>
      <c r="G250" s="22"/>
    </row>
    <row r="251" spans="1:7" ht="13.5" outlineLevel="2" thickBot="1">
      <c r="A251" s="221" t="s">
        <v>1115</v>
      </c>
      <c r="B251" s="21" t="s">
        <v>402</v>
      </c>
      <c r="C251" s="222"/>
      <c r="D251" s="223">
        <f>0.05*0.75*SUM(D236:D247)</f>
        <v>4687.5000000000009</v>
      </c>
      <c r="F251" s="22"/>
      <c r="G251" s="22"/>
    </row>
    <row r="252" spans="1:7" ht="13.5" outlineLevel="2" thickBot="1">
      <c r="A252" s="221"/>
      <c r="B252" s="21"/>
      <c r="C252" s="222"/>
      <c r="D252" s="223"/>
      <c r="F252" s="22"/>
      <c r="G252" s="22"/>
    </row>
    <row r="253" spans="1:7" s="341" customFormat="1" ht="13.5" outlineLevel="1" thickBot="1">
      <c r="A253" s="221" t="s">
        <v>466</v>
      </c>
      <c r="B253" s="21"/>
      <c r="C253" s="225" t="s">
        <v>1005</v>
      </c>
      <c r="D253" s="226">
        <f>SUBTOTAL(9,D236:D252)</f>
        <v>129687.5</v>
      </c>
      <c r="F253" s="358">
        <f>D253+D285+D192+D182+D171+D161+D152+D142</f>
        <v>558895.35748088895</v>
      </c>
    </row>
    <row r="254" spans="1:7" s="341" customFormat="1" ht="13.5" outlineLevel="1" thickBot="1">
      <c r="A254" s="351" t="s">
        <v>491</v>
      </c>
      <c r="B254" s="352"/>
      <c r="C254" s="353"/>
      <c r="D254" s="348"/>
    </row>
    <row r="255" spans="1:7" ht="13.5" outlineLevel="2" thickBot="1">
      <c r="A255" s="221" t="s">
        <v>201</v>
      </c>
      <c r="B255" s="21"/>
      <c r="C255" s="222"/>
      <c r="D255" s="223">
        <v>200000</v>
      </c>
      <c r="F255" s="22"/>
      <c r="G255" s="22"/>
    </row>
    <row r="256" spans="1:7" ht="13.5" outlineLevel="2" thickBot="1">
      <c r="A256" s="221"/>
      <c r="B256" s="21"/>
      <c r="C256" s="222"/>
      <c r="D256" s="223"/>
      <c r="F256" s="22"/>
      <c r="G256" s="22"/>
    </row>
    <row r="257" spans="1:7" ht="13.5" outlineLevel="2" thickBot="1">
      <c r="A257" s="221"/>
      <c r="B257" s="21"/>
      <c r="C257" s="222"/>
      <c r="D257" s="223"/>
      <c r="F257" s="22"/>
      <c r="G257" s="22"/>
    </row>
    <row r="258" spans="1:7" ht="13.5" outlineLevel="2" thickBot="1">
      <c r="A258" s="221"/>
      <c r="B258" s="21"/>
      <c r="C258" s="222"/>
      <c r="D258" s="223"/>
      <c r="F258" s="22"/>
      <c r="G258" s="22"/>
    </row>
    <row r="259" spans="1:7" ht="13.5" outlineLevel="2" thickBot="1">
      <c r="A259" s="221"/>
      <c r="B259" s="21"/>
      <c r="C259" s="222"/>
      <c r="D259" s="223"/>
      <c r="F259" s="22"/>
      <c r="G259" s="22"/>
    </row>
    <row r="260" spans="1:7" ht="13.5" outlineLevel="2" thickBot="1">
      <c r="A260" s="221"/>
      <c r="B260" s="21"/>
      <c r="C260" s="222"/>
      <c r="D260" s="223"/>
      <c r="F260" s="22"/>
      <c r="G260" s="22"/>
    </row>
    <row r="261" spans="1:7" ht="13.5" outlineLevel="2" thickBot="1">
      <c r="A261" s="221"/>
      <c r="B261" s="21"/>
      <c r="C261" s="222"/>
      <c r="D261" s="223"/>
      <c r="F261" s="22"/>
      <c r="G261" s="22"/>
    </row>
    <row r="262" spans="1:7" s="341" customFormat="1" ht="13.5" outlineLevel="1" thickBot="1">
      <c r="A262" s="221"/>
      <c r="B262" s="21"/>
      <c r="C262" s="225" t="s">
        <v>1005</v>
      </c>
      <c r="D262" s="226">
        <f>SUBTOTAL(9,D255:D257)</f>
        <v>200000</v>
      </c>
    </row>
    <row r="263" spans="1:7" s="341" customFormat="1" ht="13.5" outlineLevel="1" thickBot="1">
      <c r="A263" s="359" t="s">
        <v>770</v>
      </c>
      <c r="B263" s="360"/>
      <c r="C263" s="361"/>
      <c r="D263" s="348"/>
    </row>
    <row r="264" spans="1:7" ht="13.5" outlineLevel="2" thickBot="1">
      <c r="A264" s="204" t="s">
        <v>492</v>
      </c>
      <c r="B264" s="41"/>
      <c r="C264" s="246"/>
      <c r="D264" s="247"/>
      <c r="F264" s="22"/>
      <c r="G264" s="22"/>
    </row>
    <row r="265" spans="1:7" ht="13.5" outlineLevel="2" thickBot="1">
      <c r="A265" s="204"/>
      <c r="B265" s="41"/>
      <c r="C265" s="246"/>
      <c r="D265" s="247">
        <f>C265</f>
        <v>0</v>
      </c>
      <c r="F265" s="22"/>
      <c r="G265" s="22"/>
    </row>
    <row r="266" spans="1:7" ht="13.5" outlineLevel="2" thickBot="1">
      <c r="A266" s="204"/>
      <c r="B266" s="41"/>
      <c r="C266" s="246"/>
      <c r="D266" s="247"/>
      <c r="F266" s="22"/>
      <c r="G266" s="22"/>
    </row>
    <row r="267" spans="1:7" ht="13.5" outlineLevel="2" thickBot="1">
      <c r="A267" s="204"/>
      <c r="B267" s="41"/>
      <c r="C267" s="205"/>
      <c r="D267" s="206"/>
      <c r="F267" s="22"/>
      <c r="G267" s="22"/>
    </row>
    <row r="268" spans="1:7" s="341" customFormat="1" ht="13.5" outlineLevel="1" thickBot="1">
      <c r="A268" s="204"/>
      <c r="B268" s="41"/>
      <c r="C268" s="207" t="s">
        <v>1005</v>
      </c>
      <c r="D268" s="248">
        <f>SUBTOTAL(9,D264:D267)</f>
        <v>0</v>
      </c>
    </row>
    <row r="269" spans="1:7" s="341" customFormat="1" ht="13.5" outlineLevel="1" thickBot="1">
      <c r="A269" s="351" t="s">
        <v>494</v>
      </c>
      <c r="B269" s="352"/>
      <c r="C269" s="353"/>
      <c r="D269" s="348"/>
    </row>
    <row r="270" spans="1:7" ht="13.5" outlineLevel="2" thickBot="1">
      <c r="A270" s="221"/>
      <c r="B270" s="21"/>
      <c r="C270" s="222"/>
      <c r="D270" s="223"/>
      <c r="F270" s="22"/>
      <c r="G270" s="22"/>
    </row>
    <row r="271" spans="1:7" ht="13.5" outlineLevel="2" thickBot="1">
      <c r="A271" s="221"/>
      <c r="B271" s="21"/>
      <c r="C271" s="222"/>
      <c r="D271" s="223"/>
      <c r="F271" s="22"/>
      <c r="G271" s="22"/>
    </row>
    <row r="272" spans="1:7" ht="13.5" outlineLevel="2" thickBot="1">
      <c r="A272" s="221"/>
      <c r="B272" s="21"/>
      <c r="C272" s="362"/>
      <c r="D272" s="223"/>
      <c r="F272" s="22"/>
      <c r="G272" s="22"/>
    </row>
    <row r="273" spans="1:7" ht="13.5" outlineLevel="2" thickBot="1">
      <c r="A273" s="357"/>
      <c r="C273" s="222"/>
      <c r="D273" s="223"/>
      <c r="F273" s="22"/>
      <c r="G273" s="22"/>
    </row>
    <row r="274" spans="1:7" ht="13.5" outlineLevel="2" thickBot="1">
      <c r="A274" s="357"/>
      <c r="C274" s="222"/>
      <c r="D274" s="223"/>
      <c r="F274" s="22"/>
      <c r="G274" s="22"/>
    </row>
    <row r="275" spans="1:7" ht="13.5" outlineLevel="2" thickBot="1">
      <c r="A275" s="357"/>
      <c r="C275" s="222"/>
      <c r="D275" s="223"/>
      <c r="F275" s="22"/>
      <c r="G275" s="22"/>
    </row>
    <row r="276" spans="1:7" s="341" customFormat="1" ht="13.5" outlineLevel="1" thickBot="1">
      <c r="A276" s="357"/>
      <c r="C276" s="225" t="s">
        <v>1005</v>
      </c>
      <c r="D276" s="226">
        <f>SUBTOTAL(9,D270:D275)</f>
        <v>0</v>
      </c>
    </row>
    <row r="277" spans="1:7" s="341" customFormat="1" ht="13.5" outlineLevel="1" thickBot="1">
      <c r="A277" s="351" t="s">
        <v>495</v>
      </c>
      <c r="B277" s="352"/>
      <c r="C277" s="353"/>
      <c r="D277" s="348"/>
    </row>
    <row r="278" spans="1:7" ht="13.5" outlineLevel="2" thickBot="1">
      <c r="A278" s="221" t="s">
        <v>496</v>
      </c>
      <c r="B278" s="21"/>
      <c r="C278" s="222"/>
      <c r="D278" s="223">
        <v>0</v>
      </c>
      <c r="F278" s="22"/>
      <c r="G278" s="22"/>
    </row>
    <row r="279" spans="1:7" ht="13.5" outlineLevel="2" thickBot="1">
      <c r="A279" s="221"/>
      <c r="B279" s="357" t="s">
        <v>470</v>
      </c>
      <c r="C279" s="222"/>
      <c r="D279" s="223"/>
      <c r="F279" s="22"/>
      <c r="G279" s="22"/>
    </row>
    <row r="280" spans="1:7" s="341" customFormat="1" ht="13.5" outlineLevel="1" thickBot="1">
      <c r="A280" s="221" t="s">
        <v>281</v>
      </c>
      <c r="B280" s="21"/>
      <c r="C280" s="225" t="s">
        <v>1005</v>
      </c>
      <c r="D280" s="226">
        <f>SUBTOTAL(9,D278:D278)</f>
        <v>0</v>
      </c>
    </row>
    <row r="281" spans="1:7" s="341" customFormat="1" ht="13.5" outlineLevel="1" thickBot="1">
      <c r="A281" s="351" t="s">
        <v>497</v>
      </c>
      <c r="B281" s="352"/>
      <c r="C281" s="353"/>
      <c r="D281" s="348"/>
    </row>
    <row r="282" spans="1:7" ht="13.5" outlineLevel="2" thickBot="1">
      <c r="A282" s="221"/>
      <c r="B282" s="21" t="s">
        <v>498</v>
      </c>
      <c r="C282" s="363"/>
      <c r="D282" s="223">
        <f>0.1*Mob_Estimate!D36</f>
        <v>12639.475</v>
      </c>
      <c r="F282" s="22"/>
      <c r="G282" s="22"/>
    </row>
    <row r="283" spans="1:7" ht="13.5" outlineLevel="2" thickBot="1">
      <c r="A283" s="21"/>
      <c r="B283" s="21"/>
      <c r="C283" s="222"/>
      <c r="D283" s="223"/>
      <c r="F283" s="22"/>
      <c r="G283" s="22"/>
    </row>
    <row r="284" spans="1:7" ht="13.5" outlineLevel="2" thickBot="1">
      <c r="A284" s="221"/>
      <c r="B284" s="21"/>
      <c r="C284" s="222"/>
      <c r="D284" s="223"/>
      <c r="F284" s="22"/>
      <c r="G284" s="22"/>
    </row>
    <row r="285" spans="1:7" s="341" customFormat="1" ht="13.5" outlineLevel="1" thickBot="1">
      <c r="A285" s="21" t="s">
        <v>493</v>
      </c>
      <c r="C285" s="364" t="s">
        <v>1005</v>
      </c>
      <c r="D285" s="226">
        <f>SUBTOTAL(9,D282:D284)</f>
        <v>12639.475</v>
      </c>
    </row>
    <row r="286" spans="1:7" ht="13.5" thickBot="1">
      <c r="A286" s="351" t="s">
        <v>499</v>
      </c>
      <c r="B286" s="352"/>
      <c r="C286" s="353"/>
      <c r="D286" s="348"/>
      <c r="F286" s="22"/>
      <c r="G286" s="22"/>
    </row>
    <row r="287" spans="1:7" ht="13.5" thickBot="1">
      <c r="A287" s="221" t="s">
        <v>500</v>
      </c>
      <c r="B287" s="21"/>
      <c r="C287" s="222"/>
      <c r="D287" s="223"/>
      <c r="F287" s="22"/>
      <c r="G287" s="22"/>
    </row>
    <row r="288" spans="1:7" ht="13.5" thickBot="1">
      <c r="A288" s="221" t="s">
        <v>501</v>
      </c>
      <c r="B288" s="21"/>
      <c r="C288" s="222"/>
      <c r="D288" s="223">
        <f>1*1.3*30000/15</f>
        <v>2600</v>
      </c>
      <c r="F288" s="22"/>
      <c r="G288" s="22"/>
    </row>
    <row r="289" spans="1:4" ht="13.5" thickBot="1">
      <c r="A289" s="221" t="s">
        <v>502</v>
      </c>
      <c r="B289" s="21"/>
      <c r="C289" s="222"/>
      <c r="D289" s="223"/>
    </row>
    <row r="290" spans="1:4" ht="13.5" thickBot="1">
      <c r="A290" s="221" t="s">
        <v>503</v>
      </c>
      <c r="B290" s="21"/>
      <c r="C290" s="222"/>
      <c r="D290" s="223">
        <v>0</v>
      </c>
    </row>
    <row r="291" spans="1:4" ht="13.5" thickBot="1">
      <c r="A291" s="221" t="s">
        <v>504</v>
      </c>
      <c r="B291" s="21"/>
      <c r="C291" s="222"/>
      <c r="D291" s="223"/>
    </row>
    <row r="292" spans="1:4" ht="13.5" thickBot="1">
      <c r="A292" s="221" t="s">
        <v>505</v>
      </c>
      <c r="B292" s="21"/>
      <c r="C292" s="222"/>
      <c r="D292" s="223">
        <f>1*2*1.5*1*180</f>
        <v>540</v>
      </c>
    </row>
    <row r="293" spans="1:4" ht="13.5" thickBot="1">
      <c r="A293" s="221" t="s">
        <v>506</v>
      </c>
      <c r="B293" s="21"/>
      <c r="C293" s="222"/>
      <c r="D293" s="223"/>
    </row>
    <row r="294" spans="1:4" ht="13.5" thickBot="1">
      <c r="A294" s="221" t="s">
        <v>507</v>
      </c>
      <c r="B294" s="21"/>
      <c r="C294" s="222"/>
      <c r="D294" s="223">
        <v>0</v>
      </c>
    </row>
    <row r="295" spans="1:4" ht="13.5" thickBot="1">
      <c r="A295" s="221" t="s">
        <v>508</v>
      </c>
      <c r="B295" s="21"/>
      <c r="C295" s="222"/>
      <c r="D295" s="223"/>
    </row>
    <row r="296" spans="1:4" ht="13.5" thickBot="1">
      <c r="A296" s="221" t="s">
        <v>509</v>
      </c>
      <c r="B296" s="21"/>
      <c r="C296" s="222"/>
      <c r="D296" s="223">
        <v>0</v>
      </c>
    </row>
    <row r="297" spans="1:4" ht="13.5" thickBot="1">
      <c r="A297" s="221"/>
      <c r="B297" s="21"/>
      <c r="C297" s="363"/>
      <c r="D297" s="223"/>
    </row>
    <row r="298" spans="1:4" ht="13.5" thickBot="1">
      <c r="A298" s="365" t="s">
        <v>510</v>
      </c>
      <c r="B298" s="21"/>
      <c r="C298" s="222"/>
      <c r="D298" s="223"/>
    </row>
    <row r="299" spans="1:4" ht="13.5" thickBot="1">
      <c r="A299" s="366" t="s">
        <v>511</v>
      </c>
      <c r="B299" s="367"/>
      <c r="C299" s="364" t="s">
        <v>1005</v>
      </c>
      <c r="D299" s="226">
        <f>SUM(D288:D297)</f>
        <v>3140</v>
      </c>
    </row>
    <row r="300" spans="1:4" ht="13.5" thickBot="1">
      <c r="A300" s="351"/>
      <c r="B300" s="352"/>
      <c r="C300" s="353"/>
      <c r="D300" s="348"/>
    </row>
    <row r="301" spans="1:4">
      <c r="D301" s="368"/>
    </row>
    <row r="302" spans="1:4">
      <c r="D302" s="23"/>
    </row>
    <row r="303" spans="1:4">
      <c r="A303" s="22" t="s">
        <v>846</v>
      </c>
    </row>
    <row r="304" spans="1:4">
      <c r="A304" s="22" t="s">
        <v>512</v>
      </c>
    </row>
    <row r="699" spans="2:2">
      <c r="B699" s="22" t="s">
        <v>513</v>
      </c>
    </row>
    <row r="875" spans="1:4">
      <c r="A875" s="369"/>
    </row>
    <row r="876" spans="1:4">
      <c r="B876" s="369"/>
      <c r="C876" s="369"/>
      <c r="D876" s="369"/>
    </row>
  </sheetData>
  <dataConsolidate/>
  <printOptions horizontalCentered="1"/>
  <pageMargins left="0.75" right="0.75" top="1" bottom="1" header="0.5" footer="0.5"/>
  <pageSetup scale="75" firstPageNumber="26" fitToHeight="5" orientation="portrait" horizontalDpi="4294967292" verticalDpi="4294967292" r:id="rId1"/>
  <headerFooter alignWithMargins="0">
    <oddHeader>&amp;CENRON PROPRIETARY 
AND  CONFIDENTIAL INFORMATION</oddHeader>
    <oddFooter>&amp;LScot Chambers
&amp;D&amp;CPage _____&amp;R&amp;F
&amp;A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70"/>
  <sheetViews>
    <sheetView zoomScale="75" workbookViewId="0">
      <selection activeCell="E31" sqref="E31"/>
    </sheetView>
  </sheetViews>
  <sheetFormatPr defaultRowHeight="12.75"/>
  <cols>
    <col min="1" max="1" width="32.85546875" customWidth="1"/>
    <col min="2" max="2" width="11.140625" customWidth="1"/>
    <col min="3" max="3" width="12.28515625" customWidth="1"/>
    <col min="4" max="4" width="14" customWidth="1"/>
    <col min="5" max="6" width="11.140625" customWidth="1"/>
    <col min="7" max="7" width="13.7109375" customWidth="1"/>
    <col min="8" max="8" width="15.28515625" customWidth="1"/>
    <col min="9" max="9" width="11.140625" customWidth="1"/>
    <col min="10" max="10" width="11.7109375" customWidth="1"/>
    <col min="11" max="11" width="20.42578125" customWidth="1"/>
    <col min="12" max="12" width="11.140625" customWidth="1"/>
    <col min="13" max="13" width="13.7109375" customWidth="1"/>
    <col min="14" max="22" width="11.140625" customWidth="1"/>
    <col min="23" max="23" width="12.140625" bestFit="1" customWidth="1"/>
    <col min="24" max="24" width="10.140625" customWidth="1"/>
  </cols>
  <sheetData>
    <row r="1" spans="1:23" ht="20.25">
      <c r="A1" s="471" t="str">
        <f>'Table of Contents'!A1</f>
        <v>City of Austin 4 x LM6000 Power Project</v>
      </c>
      <c r="B1" s="471"/>
      <c r="C1" s="471"/>
      <c r="D1" s="471"/>
      <c r="E1" s="471"/>
      <c r="F1" s="471"/>
      <c r="G1" s="471"/>
      <c r="H1" s="471"/>
      <c r="I1" s="471"/>
      <c r="J1" s="471"/>
      <c r="K1" s="471"/>
      <c r="L1" s="471"/>
      <c r="M1" s="471"/>
      <c r="N1" s="471"/>
      <c r="O1" s="471"/>
      <c r="P1" s="471"/>
      <c r="Q1" s="471"/>
      <c r="R1" s="471"/>
      <c r="S1" s="471"/>
      <c r="T1" s="471"/>
      <c r="U1" s="471"/>
      <c r="V1" s="471"/>
      <c r="W1" s="471"/>
    </row>
    <row r="2" spans="1:23" ht="20.25">
      <c r="A2" s="471" t="s">
        <v>514</v>
      </c>
      <c r="B2" s="471"/>
      <c r="C2" s="471"/>
      <c r="D2" s="471"/>
      <c r="E2" s="471"/>
      <c r="F2" s="471"/>
      <c r="G2" s="471"/>
      <c r="H2" s="471"/>
      <c r="I2" s="471"/>
      <c r="J2" s="471"/>
      <c r="K2" s="471"/>
      <c r="L2" s="471"/>
      <c r="M2" s="471"/>
      <c r="N2" s="471"/>
      <c r="O2" s="471"/>
      <c r="P2" s="471"/>
      <c r="Q2" s="471"/>
      <c r="R2" s="471"/>
      <c r="S2" s="471"/>
      <c r="T2" s="471"/>
      <c r="U2" s="471"/>
      <c r="V2" s="471"/>
      <c r="W2" s="471"/>
    </row>
    <row r="3" spans="1:23" ht="20.25">
      <c r="A3" s="370"/>
      <c r="B3" s="370"/>
      <c r="C3" s="370"/>
      <c r="D3" s="370"/>
      <c r="E3" s="370"/>
      <c r="F3" s="370"/>
      <c r="G3" s="370"/>
      <c r="H3" s="370"/>
      <c r="I3" s="370"/>
      <c r="J3" s="370"/>
      <c r="K3" s="370"/>
      <c r="L3" s="370"/>
      <c r="M3" s="370"/>
      <c r="N3" s="370"/>
      <c r="O3" s="370"/>
      <c r="P3" s="370"/>
      <c r="Q3" s="370"/>
      <c r="R3" s="370"/>
      <c r="S3" s="370"/>
      <c r="T3" s="370"/>
      <c r="U3" s="370"/>
      <c r="V3" s="370"/>
      <c r="W3" s="370"/>
    </row>
    <row r="4" spans="1:23" ht="18.75" thickBot="1">
      <c r="A4" s="473"/>
      <c r="B4" s="473"/>
      <c r="C4" s="473"/>
      <c r="D4" s="473"/>
      <c r="E4" s="473"/>
      <c r="F4" s="473"/>
      <c r="G4" s="473"/>
      <c r="H4" s="473"/>
      <c r="I4" s="473"/>
      <c r="J4" s="473"/>
      <c r="K4" s="473"/>
      <c r="L4" s="473"/>
      <c r="M4" s="473"/>
      <c r="N4" s="371"/>
      <c r="O4" s="371"/>
      <c r="P4" s="371"/>
      <c r="Q4" s="371"/>
      <c r="R4" s="371"/>
      <c r="S4" s="371"/>
      <c r="T4" s="371"/>
      <c r="U4" s="371"/>
      <c r="V4" s="371"/>
      <c r="W4" s="371"/>
    </row>
    <row r="5" spans="1:23" ht="18.75" thickBot="1">
      <c r="A5" s="372" t="s">
        <v>515</v>
      </c>
      <c r="B5" s="373"/>
      <c r="C5" s="373"/>
      <c r="D5" s="373"/>
      <c r="E5" s="373"/>
      <c r="F5" s="474" t="s">
        <v>516</v>
      </c>
      <c r="G5" s="474"/>
      <c r="H5" s="374">
        <v>20</v>
      </c>
      <c r="I5" s="375" t="s">
        <v>517</v>
      </c>
      <c r="J5" s="373"/>
      <c r="K5" s="376"/>
    </row>
    <row r="6" spans="1:23" ht="18">
      <c r="A6" s="377" t="s">
        <v>518</v>
      </c>
      <c r="B6" s="117"/>
      <c r="C6" s="117"/>
      <c r="D6" s="117"/>
      <c r="E6" s="117"/>
      <c r="F6" s="117"/>
      <c r="G6" s="117"/>
      <c r="H6" s="378">
        <f>W29</f>
        <v>5652000</v>
      </c>
      <c r="I6" s="379" t="s">
        <v>519</v>
      </c>
      <c r="J6" s="117"/>
      <c r="K6" s="380"/>
    </row>
    <row r="7" spans="1:23" ht="18.75" thickBot="1">
      <c r="A7" s="381"/>
      <c r="B7" s="117"/>
      <c r="C7" s="117"/>
      <c r="D7" s="117"/>
      <c r="E7" s="117"/>
      <c r="F7" s="117"/>
      <c r="G7" s="117"/>
      <c r="H7" s="378">
        <f>H6/$D$8</f>
        <v>1413000</v>
      </c>
      <c r="I7" s="379" t="s">
        <v>520</v>
      </c>
      <c r="J7" s="117"/>
      <c r="K7" s="380"/>
    </row>
    <row r="8" spans="1:23" ht="18.75" thickBot="1">
      <c r="A8" s="377" t="s">
        <v>521</v>
      </c>
      <c r="B8" s="382"/>
      <c r="C8" s="382"/>
      <c r="D8" s="374">
        <v>4</v>
      </c>
      <c r="E8" s="117"/>
      <c r="F8" s="117"/>
      <c r="G8" s="117"/>
      <c r="H8" s="383">
        <f>H7/H5</f>
        <v>70650</v>
      </c>
      <c r="I8" s="379" t="s">
        <v>627</v>
      </c>
      <c r="J8" s="117"/>
      <c r="K8" s="380"/>
    </row>
    <row r="9" spans="1:23" ht="18.75" thickBot="1">
      <c r="A9" s="381"/>
      <c r="B9" s="117"/>
      <c r="C9" s="117"/>
      <c r="D9" s="117"/>
      <c r="E9" s="117"/>
      <c r="F9" s="117"/>
      <c r="G9" s="117"/>
      <c r="H9" s="384">
        <f>H8/C20</f>
        <v>54.346153846153847</v>
      </c>
      <c r="I9" s="379" t="s">
        <v>628</v>
      </c>
      <c r="J9" s="117"/>
      <c r="K9" s="380"/>
    </row>
    <row r="10" spans="1:23" ht="13.5" thickBot="1">
      <c r="A10" s="385"/>
      <c r="B10" s="386"/>
      <c r="C10" s="386"/>
      <c r="D10" s="386"/>
      <c r="E10" s="386"/>
      <c r="F10" s="386"/>
      <c r="G10" s="386"/>
      <c r="H10" s="386"/>
      <c r="I10" s="386"/>
      <c r="J10" s="386"/>
      <c r="K10" s="387"/>
    </row>
    <row r="11" spans="1:23" ht="15.75">
      <c r="A11" s="388"/>
      <c r="B11" s="389"/>
      <c r="C11" s="389"/>
      <c r="D11" s="390" t="s">
        <v>524</v>
      </c>
      <c r="E11" s="389"/>
      <c r="F11" s="389"/>
      <c r="G11" s="389"/>
      <c r="H11" s="389"/>
      <c r="I11" s="389"/>
      <c r="J11" s="389"/>
      <c r="K11" s="389"/>
      <c r="L11" s="373"/>
      <c r="M11" s="391"/>
      <c r="N11" s="391"/>
      <c r="O11" s="391"/>
      <c r="P11" s="391"/>
      <c r="Q11" s="391"/>
      <c r="R11" s="391"/>
      <c r="S11" s="391"/>
      <c r="T11" s="391"/>
      <c r="U11" s="391"/>
      <c r="V11" s="373"/>
      <c r="W11" s="376"/>
    </row>
    <row r="12" spans="1:23">
      <c r="A12" s="392" t="s">
        <v>525</v>
      </c>
      <c r="B12" s="393"/>
      <c r="C12" s="394"/>
      <c r="D12" s="395">
        <v>0</v>
      </c>
      <c r="E12" s="396" t="s">
        <v>526</v>
      </c>
      <c r="F12" s="389"/>
      <c r="G12" s="389"/>
      <c r="H12" s="397" t="s">
        <v>527</v>
      </c>
      <c r="I12" s="397"/>
      <c r="J12" s="389"/>
      <c r="K12" s="389"/>
      <c r="L12" s="117"/>
      <c r="M12" s="389"/>
      <c r="N12" s="389"/>
      <c r="O12" s="389"/>
      <c r="P12" s="389"/>
      <c r="Q12" s="389"/>
      <c r="R12" s="389"/>
      <c r="S12" s="389"/>
      <c r="T12" s="389"/>
      <c r="U12" s="389"/>
      <c r="V12" s="117"/>
      <c r="W12" s="380"/>
    </row>
    <row r="13" spans="1:23">
      <c r="A13" s="392" t="s">
        <v>528</v>
      </c>
      <c r="B13" s="393"/>
      <c r="C13" s="394"/>
      <c r="D13" s="395">
        <f>3.5*23900</f>
        <v>83650</v>
      </c>
      <c r="E13" s="398" t="s">
        <v>529</v>
      </c>
      <c r="F13" s="389"/>
      <c r="G13" s="389"/>
      <c r="H13" s="397" t="s">
        <v>630</v>
      </c>
      <c r="I13" s="117"/>
      <c r="J13" s="389"/>
      <c r="K13" s="389"/>
      <c r="L13" s="117"/>
      <c r="M13" s="389"/>
      <c r="N13" s="389"/>
      <c r="O13" s="389"/>
      <c r="P13" s="389"/>
      <c r="Q13" s="389"/>
      <c r="R13" s="389"/>
      <c r="S13" s="389"/>
      <c r="T13" s="389"/>
      <c r="U13" s="389"/>
      <c r="V13" s="117"/>
      <c r="W13" s="380"/>
    </row>
    <row r="14" spans="1:23">
      <c r="A14" s="392" t="s">
        <v>530</v>
      </c>
      <c r="B14" s="393"/>
      <c r="C14" s="394"/>
      <c r="D14" s="395">
        <v>0</v>
      </c>
      <c r="E14" s="398" t="s">
        <v>531</v>
      </c>
      <c r="F14" s="389"/>
      <c r="G14" s="389"/>
      <c r="H14" s="397" t="s">
        <v>622</v>
      </c>
      <c r="I14" s="397"/>
      <c r="J14" s="389"/>
      <c r="K14" s="389"/>
      <c r="L14" s="117"/>
      <c r="M14" s="389"/>
      <c r="N14" s="389"/>
      <c r="O14" s="389"/>
      <c r="P14" s="389"/>
      <c r="Q14" s="389"/>
      <c r="R14" s="389"/>
      <c r="S14" s="389"/>
      <c r="T14" s="389"/>
      <c r="U14" s="389"/>
      <c r="V14" s="117"/>
      <c r="W14" s="380"/>
    </row>
    <row r="15" spans="1:23">
      <c r="A15" s="392" t="s">
        <v>533</v>
      </c>
      <c r="B15" s="393"/>
      <c r="C15" s="394"/>
      <c r="D15" s="395">
        <v>1403000</v>
      </c>
      <c r="E15" s="398" t="s">
        <v>534</v>
      </c>
      <c r="G15" s="389"/>
      <c r="H15" s="397" t="s">
        <v>625</v>
      </c>
      <c r="I15" s="117"/>
      <c r="J15" s="389"/>
      <c r="K15" s="389"/>
      <c r="L15" s="117"/>
      <c r="M15" s="389"/>
      <c r="N15" s="389"/>
      <c r="O15" s="389"/>
      <c r="P15" s="389"/>
      <c r="Q15" s="389"/>
      <c r="R15" s="389"/>
      <c r="S15" s="389"/>
      <c r="T15" s="389"/>
      <c r="U15" s="389"/>
      <c r="V15" s="117"/>
      <c r="W15" s="380"/>
    </row>
    <row r="16" spans="1:23">
      <c r="A16" s="392" t="s">
        <v>624</v>
      </c>
      <c r="B16" s="393"/>
      <c r="C16" s="394"/>
      <c r="D16" s="395">
        <v>3000000</v>
      </c>
      <c r="E16" s="398" t="s">
        <v>534</v>
      </c>
      <c r="F16" s="389"/>
      <c r="G16" s="389"/>
      <c r="H16" s="397" t="s">
        <v>626</v>
      </c>
      <c r="I16" s="117"/>
      <c r="J16" s="389"/>
      <c r="K16" s="389"/>
      <c r="L16" s="117"/>
      <c r="M16" s="389"/>
      <c r="N16" s="389"/>
      <c r="O16" s="389"/>
      <c r="P16" s="389"/>
      <c r="Q16" s="389"/>
      <c r="R16" s="389"/>
      <c r="S16" s="389"/>
      <c r="T16" s="389"/>
      <c r="U16" s="389"/>
      <c r="V16" s="117"/>
      <c r="W16" s="380"/>
    </row>
    <row r="17" spans="1:23">
      <c r="A17" s="392" t="s">
        <v>538</v>
      </c>
      <c r="B17" s="393"/>
      <c r="C17" s="394"/>
      <c r="D17" s="399">
        <v>10000</v>
      </c>
      <c r="E17" s="400"/>
      <c r="F17" s="389"/>
      <c r="G17" s="389"/>
      <c r="H17" s="397" t="s">
        <v>623</v>
      </c>
      <c r="I17" s="389"/>
      <c r="J17" s="389"/>
      <c r="K17" s="389"/>
      <c r="L17" s="117"/>
      <c r="M17" s="389"/>
      <c r="N17" s="389"/>
      <c r="O17" s="389"/>
      <c r="P17" s="389"/>
      <c r="Q17" s="389"/>
      <c r="R17" s="389"/>
      <c r="S17" s="389"/>
      <c r="T17" s="389"/>
      <c r="U17" s="389"/>
      <c r="V17" s="117"/>
      <c r="W17" s="380"/>
    </row>
    <row r="18" spans="1:23">
      <c r="A18" s="392" t="s">
        <v>540</v>
      </c>
      <c r="B18" s="393"/>
      <c r="C18" s="394"/>
      <c r="D18" s="399">
        <v>25000</v>
      </c>
      <c r="E18" s="400"/>
      <c r="F18" s="389"/>
      <c r="G18" s="389"/>
      <c r="H18" s="397" t="s">
        <v>623</v>
      </c>
      <c r="I18" s="389"/>
      <c r="J18" s="389"/>
      <c r="K18" s="117"/>
      <c r="L18" s="117"/>
      <c r="M18" s="117"/>
      <c r="N18" s="117"/>
      <c r="O18" s="117"/>
      <c r="P18" s="117"/>
      <c r="Q18" s="117"/>
      <c r="R18" s="117"/>
      <c r="S18" s="117"/>
      <c r="T18" s="117"/>
      <c r="U18" s="117"/>
      <c r="V18" s="117"/>
      <c r="W18" s="380"/>
    </row>
    <row r="19" spans="1:23">
      <c r="A19" s="381"/>
      <c r="B19" s="389"/>
      <c r="C19" s="389"/>
      <c r="D19" s="389"/>
      <c r="E19" s="389"/>
      <c r="F19" s="389"/>
      <c r="G19" s="389"/>
      <c r="H19" s="389"/>
      <c r="I19" s="389"/>
      <c r="J19" s="389"/>
      <c r="K19" s="117"/>
      <c r="L19" s="117"/>
      <c r="M19" s="117"/>
      <c r="N19" s="117"/>
      <c r="O19" s="117"/>
      <c r="P19" s="117"/>
      <c r="Q19" s="117"/>
      <c r="R19" s="117"/>
      <c r="S19" s="117"/>
      <c r="T19" s="117"/>
      <c r="U19" s="117"/>
      <c r="V19" s="117"/>
      <c r="W19" s="380"/>
    </row>
    <row r="20" spans="1:23">
      <c r="A20" s="401" t="s">
        <v>541</v>
      </c>
      <c r="B20" s="402"/>
      <c r="C20" s="403">
        <v>1300</v>
      </c>
      <c r="D20" s="404" t="s">
        <v>542</v>
      </c>
      <c r="E20" s="117"/>
      <c r="F20" s="117"/>
      <c r="G20" s="117"/>
      <c r="H20" s="117"/>
      <c r="I20" s="117"/>
      <c r="J20" s="117"/>
      <c r="K20" s="117"/>
      <c r="L20" s="117"/>
      <c r="M20" s="117"/>
      <c r="N20" s="117"/>
      <c r="O20" s="117"/>
      <c r="P20" s="117"/>
      <c r="Q20" s="117"/>
      <c r="R20" s="117"/>
      <c r="S20" s="117"/>
      <c r="T20" s="117"/>
      <c r="U20" s="117"/>
      <c r="V20" s="117"/>
      <c r="W20" s="380"/>
    </row>
    <row r="21" spans="1:23">
      <c r="A21" s="381" t="s">
        <v>543</v>
      </c>
      <c r="B21" s="179">
        <v>0</v>
      </c>
      <c r="C21" s="179">
        <v>1</v>
      </c>
      <c r="D21" s="179">
        <v>2</v>
      </c>
      <c r="E21" s="179">
        <v>3</v>
      </c>
      <c r="F21" s="179">
        <v>4</v>
      </c>
      <c r="G21" s="179">
        <v>5</v>
      </c>
      <c r="H21" s="179">
        <v>6</v>
      </c>
      <c r="I21" s="179">
        <v>7</v>
      </c>
      <c r="J21" s="179">
        <v>8</v>
      </c>
      <c r="K21" s="179">
        <v>9</v>
      </c>
      <c r="L21" s="179">
        <v>10</v>
      </c>
      <c r="M21" s="179">
        <v>11</v>
      </c>
      <c r="N21" s="179">
        <v>12</v>
      </c>
      <c r="O21" s="179">
        <v>13</v>
      </c>
      <c r="P21" s="179">
        <v>14</v>
      </c>
      <c r="Q21" s="179">
        <v>15</v>
      </c>
      <c r="R21" s="179">
        <v>16</v>
      </c>
      <c r="S21" s="179">
        <v>17</v>
      </c>
      <c r="T21" s="179">
        <v>18</v>
      </c>
      <c r="U21" s="179">
        <v>19</v>
      </c>
      <c r="V21" s="179">
        <v>20</v>
      </c>
      <c r="W21" s="380"/>
    </row>
    <row r="22" spans="1:23">
      <c r="A22" s="381" t="s">
        <v>544</v>
      </c>
      <c r="B22" s="405"/>
      <c r="C22" s="405">
        <f>$C20</f>
        <v>1300</v>
      </c>
      <c r="D22" s="405">
        <f t="shared" ref="D22:V22" si="0">C22+$C20</f>
        <v>2600</v>
      </c>
      <c r="E22" s="405">
        <f t="shared" si="0"/>
        <v>3900</v>
      </c>
      <c r="F22" s="405">
        <f t="shared" si="0"/>
        <v>5200</v>
      </c>
      <c r="G22" s="405">
        <f t="shared" si="0"/>
        <v>6500</v>
      </c>
      <c r="H22" s="405">
        <f t="shared" si="0"/>
        <v>7800</v>
      </c>
      <c r="I22" s="405">
        <f t="shared" si="0"/>
        <v>9100</v>
      </c>
      <c r="J22" s="405">
        <f t="shared" si="0"/>
        <v>10400</v>
      </c>
      <c r="K22" s="405">
        <f t="shared" si="0"/>
        <v>11700</v>
      </c>
      <c r="L22" s="405">
        <f t="shared" si="0"/>
        <v>13000</v>
      </c>
      <c r="M22" s="405">
        <f t="shared" si="0"/>
        <v>14300</v>
      </c>
      <c r="N22" s="405">
        <f t="shared" si="0"/>
        <v>15600</v>
      </c>
      <c r="O22" s="405">
        <f t="shared" si="0"/>
        <v>16900</v>
      </c>
      <c r="P22" s="405">
        <f t="shared" si="0"/>
        <v>18200</v>
      </c>
      <c r="Q22" s="405">
        <f t="shared" si="0"/>
        <v>19500</v>
      </c>
      <c r="R22" s="405">
        <f t="shared" si="0"/>
        <v>20800</v>
      </c>
      <c r="S22" s="405">
        <f t="shared" si="0"/>
        <v>22100</v>
      </c>
      <c r="T22" s="405">
        <f t="shared" si="0"/>
        <v>23400</v>
      </c>
      <c r="U22" s="405">
        <f t="shared" si="0"/>
        <v>24700</v>
      </c>
      <c r="V22" s="405">
        <f t="shared" si="0"/>
        <v>26000</v>
      </c>
      <c r="W22" s="380"/>
    </row>
    <row r="23" spans="1:23">
      <c r="A23" s="381" t="s">
        <v>545</v>
      </c>
      <c r="B23" s="179"/>
      <c r="C23" s="179"/>
      <c r="D23" s="179"/>
      <c r="E23" s="179"/>
      <c r="F23" s="179"/>
      <c r="G23" s="179"/>
      <c r="H23" s="179"/>
      <c r="I23" s="179"/>
      <c r="J23" s="179"/>
      <c r="K23" s="179"/>
      <c r="L23" s="179"/>
      <c r="M23" s="179"/>
      <c r="N23" s="179"/>
      <c r="O23" s="179"/>
      <c r="P23" s="179"/>
      <c r="Q23" s="179"/>
      <c r="R23" s="179"/>
      <c r="S23" s="179"/>
      <c r="T23" s="179"/>
      <c r="U23" s="179" t="s">
        <v>546</v>
      </c>
      <c r="V23" s="179"/>
      <c r="W23" s="380"/>
    </row>
    <row r="24" spans="1:23">
      <c r="A24" s="381" t="s">
        <v>547</v>
      </c>
      <c r="B24" s="406">
        <f t="shared" ref="B24:V24" si="1">IF(B23="H",$D$8*$D15,IF(B23="M",$D$8*$D16,0))</f>
        <v>0</v>
      </c>
      <c r="C24" s="406">
        <f t="shared" si="1"/>
        <v>0</v>
      </c>
      <c r="D24" s="406">
        <f t="shared" si="1"/>
        <v>0</v>
      </c>
      <c r="E24" s="406">
        <f t="shared" si="1"/>
        <v>0</v>
      </c>
      <c r="F24" s="406">
        <f t="shared" si="1"/>
        <v>0</v>
      </c>
      <c r="G24" s="406">
        <f t="shared" si="1"/>
        <v>0</v>
      </c>
      <c r="H24" s="406">
        <f t="shared" si="1"/>
        <v>0</v>
      </c>
      <c r="I24" s="406">
        <f t="shared" si="1"/>
        <v>0</v>
      </c>
      <c r="J24" s="406">
        <f t="shared" si="1"/>
        <v>0</v>
      </c>
      <c r="K24" s="406">
        <f t="shared" si="1"/>
        <v>0</v>
      </c>
      <c r="L24" s="406">
        <f t="shared" si="1"/>
        <v>0</v>
      </c>
      <c r="M24" s="406">
        <f t="shared" si="1"/>
        <v>0</v>
      </c>
      <c r="N24" s="406">
        <f t="shared" si="1"/>
        <v>0</v>
      </c>
      <c r="O24" s="406">
        <f t="shared" si="1"/>
        <v>0</v>
      </c>
      <c r="P24" s="406">
        <f t="shared" si="1"/>
        <v>0</v>
      </c>
      <c r="Q24" s="406">
        <f t="shared" si="1"/>
        <v>0</v>
      </c>
      <c r="R24" s="406">
        <f t="shared" si="1"/>
        <v>0</v>
      </c>
      <c r="S24" s="406">
        <f t="shared" si="1"/>
        <v>0</v>
      </c>
      <c r="T24" s="406">
        <f t="shared" si="1"/>
        <v>0</v>
      </c>
      <c r="U24" s="406">
        <f t="shared" si="1"/>
        <v>5612000</v>
      </c>
      <c r="V24" s="406">
        <f t="shared" si="1"/>
        <v>0</v>
      </c>
      <c r="W24" s="380"/>
    </row>
    <row r="25" spans="1:23">
      <c r="A25" s="381" t="s">
        <v>548</v>
      </c>
      <c r="B25" s="406"/>
      <c r="C25" s="406">
        <f t="shared" ref="C25:V25" si="2">$D$14*$D$8</f>
        <v>0</v>
      </c>
      <c r="D25" s="406">
        <f t="shared" si="2"/>
        <v>0</v>
      </c>
      <c r="E25" s="406">
        <f t="shared" si="2"/>
        <v>0</v>
      </c>
      <c r="F25" s="406">
        <f t="shared" si="2"/>
        <v>0</v>
      </c>
      <c r="G25" s="406">
        <f t="shared" si="2"/>
        <v>0</v>
      </c>
      <c r="H25" s="406">
        <f t="shared" si="2"/>
        <v>0</v>
      </c>
      <c r="I25" s="406">
        <f t="shared" si="2"/>
        <v>0</v>
      </c>
      <c r="J25" s="406">
        <f t="shared" si="2"/>
        <v>0</v>
      </c>
      <c r="K25" s="406">
        <f t="shared" si="2"/>
        <v>0</v>
      </c>
      <c r="L25" s="406">
        <f t="shared" si="2"/>
        <v>0</v>
      </c>
      <c r="M25" s="406">
        <f t="shared" si="2"/>
        <v>0</v>
      </c>
      <c r="N25" s="406">
        <f t="shared" si="2"/>
        <v>0</v>
      </c>
      <c r="O25" s="406">
        <f t="shared" si="2"/>
        <v>0</v>
      </c>
      <c r="P25" s="406">
        <f t="shared" si="2"/>
        <v>0</v>
      </c>
      <c r="Q25" s="406">
        <f t="shared" si="2"/>
        <v>0</v>
      </c>
      <c r="R25" s="406">
        <f t="shared" si="2"/>
        <v>0</v>
      </c>
      <c r="S25" s="406">
        <f t="shared" si="2"/>
        <v>0</v>
      </c>
      <c r="T25" s="406">
        <f t="shared" si="2"/>
        <v>0</v>
      </c>
      <c r="U25" s="406">
        <f t="shared" si="2"/>
        <v>0</v>
      </c>
      <c r="V25" s="406">
        <f t="shared" si="2"/>
        <v>0</v>
      </c>
      <c r="W25" s="380"/>
    </row>
    <row r="26" spans="1:23">
      <c r="A26" s="381" t="s">
        <v>549</v>
      </c>
      <c r="B26" s="406">
        <f t="shared" ref="B26:V26" si="3">IF(B23="H",$D17*$D$8,IF(B23="M",$D18*$D$8,0))</f>
        <v>0</v>
      </c>
      <c r="C26" s="406">
        <f t="shared" si="3"/>
        <v>0</v>
      </c>
      <c r="D26" s="406">
        <f t="shared" si="3"/>
        <v>0</v>
      </c>
      <c r="E26" s="406">
        <f t="shared" si="3"/>
        <v>0</v>
      </c>
      <c r="F26" s="406">
        <f t="shared" si="3"/>
        <v>0</v>
      </c>
      <c r="G26" s="406">
        <f t="shared" si="3"/>
        <v>0</v>
      </c>
      <c r="H26" s="406">
        <f t="shared" si="3"/>
        <v>0</v>
      </c>
      <c r="I26" s="406">
        <f t="shared" si="3"/>
        <v>0</v>
      </c>
      <c r="J26" s="406">
        <f t="shared" si="3"/>
        <v>0</v>
      </c>
      <c r="K26" s="406">
        <f t="shared" si="3"/>
        <v>0</v>
      </c>
      <c r="L26" s="406">
        <f t="shared" si="3"/>
        <v>0</v>
      </c>
      <c r="M26" s="406">
        <f t="shared" si="3"/>
        <v>0</v>
      </c>
      <c r="N26" s="406">
        <f t="shared" si="3"/>
        <v>0</v>
      </c>
      <c r="O26" s="406">
        <f t="shared" si="3"/>
        <v>0</v>
      </c>
      <c r="P26" s="406">
        <f t="shared" si="3"/>
        <v>0</v>
      </c>
      <c r="Q26" s="406">
        <f t="shared" si="3"/>
        <v>0</v>
      </c>
      <c r="R26" s="406">
        <f t="shared" si="3"/>
        <v>0</v>
      </c>
      <c r="S26" s="406">
        <f t="shared" si="3"/>
        <v>0</v>
      </c>
      <c r="T26" s="406">
        <f t="shared" si="3"/>
        <v>0</v>
      </c>
      <c r="U26" s="406">
        <f t="shared" si="3"/>
        <v>40000</v>
      </c>
      <c r="V26" s="406">
        <f t="shared" si="3"/>
        <v>0</v>
      </c>
      <c r="W26" s="380"/>
    </row>
    <row r="27" spans="1:23">
      <c r="A27" s="381" t="s">
        <v>550</v>
      </c>
      <c r="B27" s="179"/>
      <c r="C27" s="406">
        <f t="shared" ref="C27:V27" si="4">$D12*$D$8</f>
        <v>0</v>
      </c>
      <c r="D27" s="406">
        <f t="shared" si="4"/>
        <v>0</v>
      </c>
      <c r="E27" s="406">
        <f t="shared" si="4"/>
        <v>0</v>
      </c>
      <c r="F27" s="406">
        <f t="shared" si="4"/>
        <v>0</v>
      </c>
      <c r="G27" s="406">
        <f t="shared" si="4"/>
        <v>0</v>
      </c>
      <c r="H27" s="406">
        <f t="shared" si="4"/>
        <v>0</v>
      </c>
      <c r="I27" s="406">
        <f t="shared" si="4"/>
        <v>0</v>
      </c>
      <c r="J27" s="406">
        <f t="shared" si="4"/>
        <v>0</v>
      </c>
      <c r="K27" s="406">
        <f t="shared" si="4"/>
        <v>0</v>
      </c>
      <c r="L27" s="406">
        <f t="shared" si="4"/>
        <v>0</v>
      </c>
      <c r="M27" s="406">
        <f t="shared" si="4"/>
        <v>0</v>
      </c>
      <c r="N27" s="406">
        <f t="shared" si="4"/>
        <v>0</v>
      </c>
      <c r="O27" s="406">
        <f t="shared" si="4"/>
        <v>0</v>
      </c>
      <c r="P27" s="406">
        <f t="shared" si="4"/>
        <v>0</v>
      </c>
      <c r="Q27" s="406">
        <f t="shared" si="4"/>
        <v>0</v>
      </c>
      <c r="R27" s="406">
        <f t="shared" si="4"/>
        <v>0</v>
      </c>
      <c r="S27" s="406">
        <f t="shared" si="4"/>
        <v>0</v>
      </c>
      <c r="T27" s="406">
        <f t="shared" si="4"/>
        <v>0</v>
      </c>
      <c r="U27" s="406">
        <f t="shared" si="4"/>
        <v>0</v>
      </c>
      <c r="V27" s="406">
        <f t="shared" si="4"/>
        <v>0</v>
      </c>
      <c r="W27" s="380"/>
    </row>
    <row r="28" spans="1:23" ht="13.5" thickBot="1">
      <c r="A28" s="381" t="s">
        <v>551</v>
      </c>
      <c r="B28" s="406">
        <f>IF(B23="M",$D$8*($D13*16),0)</f>
        <v>0</v>
      </c>
      <c r="C28" s="406">
        <f t="shared" ref="C28:V28" si="5">IF(C23="M",$D$8*($D13*16),0)</f>
        <v>0</v>
      </c>
      <c r="D28" s="406">
        <f t="shared" si="5"/>
        <v>0</v>
      </c>
      <c r="E28" s="406">
        <f t="shared" si="5"/>
        <v>0</v>
      </c>
      <c r="F28" s="406">
        <f t="shared" si="5"/>
        <v>0</v>
      </c>
      <c r="G28" s="406">
        <f t="shared" si="5"/>
        <v>0</v>
      </c>
      <c r="H28" s="406">
        <f t="shared" si="5"/>
        <v>0</v>
      </c>
      <c r="I28" s="406">
        <f t="shared" si="5"/>
        <v>0</v>
      </c>
      <c r="J28" s="406">
        <f t="shared" si="5"/>
        <v>0</v>
      </c>
      <c r="K28" s="406">
        <f t="shared" si="5"/>
        <v>0</v>
      </c>
      <c r="L28" s="406">
        <f t="shared" si="5"/>
        <v>0</v>
      </c>
      <c r="M28" s="406">
        <f t="shared" si="5"/>
        <v>0</v>
      </c>
      <c r="N28" s="406">
        <f t="shared" si="5"/>
        <v>0</v>
      </c>
      <c r="O28" s="406">
        <f t="shared" si="5"/>
        <v>0</v>
      </c>
      <c r="P28" s="406">
        <f t="shared" si="5"/>
        <v>0</v>
      </c>
      <c r="Q28" s="406">
        <f t="shared" si="5"/>
        <v>0</v>
      </c>
      <c r="R28" s="406">
        <f t="shared" si="5"/>
        <v>0</v>
      </c>
      <c r="S28" s="406">
        <f t="shared" si="5"/>
        <v>0</v>
      </c>
      <c r="T28" s="406">
        <f t="shared" si="5"/>
        <v>0</v>
      </c>
      <c r="U28" s="406">
        <f t="shared" si="5"/>
        <v>0</v>
      </c>
      <c r="V28" s="406">
        <f t="shared" si="5"/>
        <v>0</v>
      </c>
      <c r="W28" s="380"/>
    </row>
    <row r="29" spans="1:23" ht="16.5" thickBot="1">
      <c r="A29" s="407" t="s">
        <v>552</v>
      </c>
      <c r="B29" s="408">
        <f t="shared" ref="B29:V29" si="6">SUM(B24:B28)</f>
        <v>0</v>
      </c>
      <c r="C29" s="408">
        <f t="shared" si="6"/>
        <v>0</v>
      </c>
      <c r="D29" s="408">
        <f t="shared" si="6"/>
        <v>0</v>
      </c>
      <c r="E29" s="408">
        <f t="shared" si="6"/>
        <v>0</v>
      </c>
      <c r="F29" s="408">
        <f t="shared" si="6"/>
        <v>0</v>
      </c>
      <c r="G29" s="408">
        <f t="shared" si="6"/>
        <v>0</v>
      </c>
      <c r="H29" s="408">
        <f t="shared" si="6"/>
        <v>0</v>
      </c>
      <c r="I29" s="408">
        <f t="shared" si="6"/>
        <v>0</v>
      </c>
      <c r="J29" s="408">
        <f t="shared" si="6"/>
        <v>0</v>
      </c>
      <c r="K29" s="408">
        <f t="shared" si="6"/>
        <v>0</v>
      </c>
      <c r="L29" s="408">
        <f t="shared" si="6"/>
        <v>0</v>
      </c>
      <c r="M29" s="408">
        <f t="shared" si="6"/>
        <v>0</v>
      </c>
      <c r="N29" s="408">
        <f t="shared" si="6"/>
        <v>0</v>
      </c>
      <c r="O29" s="408">
        <f t="shared" si="6"/>
        <v>0</v>
      </c>
      <c r="P29" s="408">
        <f t="shared" si="6"/>
        <v>0</v>
      </c>
      <c r="Q29" s="408">
        <f t="shared" si="6"/>
        <v>0</v>
      </c>
      <c r="R29" s="408">
        <f t="shared" si="6"/>
        <v>0</v>
      </c>
      <c r="S29" s="408">
        <f t="shared" si="6"/>
        <v>0</v>
      </c>
      <c r="T29" s="408">
        <f t="shared" si="6"/>
        <v>0</v>
      </c>
      <c r="U29" s="408">
        <f t="shared" si="6"/>
        <v>5652000</v>
      </c>
      <c r="V29" s="408">
        <f t="shared" si="6"/>
        <v>0</v>
      </c>
      <c r="W29" s="409">
        <f>SUM(B29:V29)</f>
        <v>5652000</v>
      </c>
    </row>
    <row r="30" spans="1:23" ht="15.75">
      <c r="A30" s="410"/>
      <c r="B30" s="408"/>
      <c r="C30" s="408"/>
      <c r="D30" s="408"/>
      <c r="E30" s="408"/>
      <c r="F30" s="408"/>
      <c r="G30" s="408"/>
      <c r="H30" s="408"/>
      <c r="I30" s="408"/>
      <c r="J30" s="408"/>
      <c r="K30" s="408"/>
      <c r="L30" s="408"/>
      <c r="M30" s="408"/>
      <c r="N30" s="408"/>
      <c r="O30" s="408"/>
      <c r="P30" s="408"/>
      <c r="Q30" s="408"/>
      <c r="R30" s="408"/>
      <c r="S30" s="408"/>
      <c r="T30" s="408"/>
      <c r="U30" s="408"/>
      <c r="V30" s="408"/>
      <c r="W30" s="411"/>
    </row>
    <row r="31" spans="1:23">
      <c r="A31" s="381" t="s">
        <v>553</v>
      </c>
      <c r="B31" s="117"/>
      <c r="C31" s="117"/>
      <c r="D31" s="117"/>
      <c r="E31" s="117"/>
      <c r="F31" s="117"/>
      <c r="G31" s="117"/>
      <c r="H31" s="117"/>
      <c r="I31" s="117"/>
      <c r="J31" s="117"/>
      <c r="K31" s="117"/>
      <c r="L31" s="117"/>
      <c r="M31" s="117"/>
      <c r="N31" s="117"/>
      <c r="O31" s="117"/>
      <c r="P31" s="117"/>
      <c r="Q31" s="117"/>
      <c r="R31" s="117"/>
      <c r="S31" s="117"/>
      <c r="T31" s="117"/>
      <c r="U31" s="117"/>
      <c r="V31" s="117"/>
      <c r="W31" s="380"/>
    </row>
    <row r="32" spans="1:23">
      <c r="A32" s="381" t="s">
        <v>554</v>
      </c>
      <c r="B32" s="117"/>
      <c r="C32" s="117"/>
      <c r="D32" s="117"/>
      <c r="E32" s="117"/>
      <c r="F32" s="117"/>
      <c r="G32" s="117"/>
      <c r="H32" s="117"/>
      <c r="I32" s="117"/>
      <c r="J32" s="117"/>
      <c r="K32" s="117"/>
      <c r="L32" s="117"/>
      <c r="M32" s="117"/>
      <c r="N32" s="117"/>
      <c r="O32" s="117"/>
      <c r="P32" s="117"/>
      <c r="Q32" s="117"/>
      <c r="R32" s="117"/>
      <c r="S32" s="117"/>
      <c r="T32" s="117"/>
      <c r="U32" s="117"/>
      <c r="V32" s="117"/>
      <c r="W32" s="380"/>
    </row>
    <row r="33" spans="1:26">
      <c r="A33" s="381" t="s">
        <v>629</v>
      </c>
      <c r="B33" s="117"/>
      <c r="C33" s="117"/>
      <c r="D33" s="117"/>
      <c r="E33" s="117"/>
      <c r="F33" s="117"/>
      <c r="G33" s="117"/>
      <c r="H33" s="117"/>
      <c r="I33" s="117"/>
      <c r="J33" s="117"/>
      <c r="K33" s="117"/>
      <c r="L33" s="117"/>
      <c r="M33" s="117"/>
      <c r="N33" s="117"/>
      <c r="O33" s="117"/>
      <c r="P33" s="117"/>
      <c r="Q33" s="117"/>
      <c r="R33" s="117"/>
      <c r="S33" s="117"/>
      <c r="T33" s="117"/>
      <c r="U33" s="117"/>
      <c r="V33" s="117"/>
      <c r="W33" s="380"/>
    </row>
    <row r="34" spans="1:26">
      <c r="A34" s="381" t="s">
        <v>631</v>
      </c>
      <c r="B34" s="117"/>
      <c r="C34" s="117"/>
      <c r="D34" s="117"/>
      <c r="E34" s="117"/>
      <c r="F34" s="117"/>
      <c r="G34" s="117"/>
      <c r="H34" s="117"/>
      <c r="I34" s="117"/>
      <c r="J34" s="117"/>
      <c r="K34" s="117"/>
      <c r="L34" s="117"/>
      <c r="M34" s="117"/>
      <c r="N34" s="117"/>
      <c r="O34" s="117"/>
      <c r="P34" s="117"/>
      <c r="Q34" s="117"/>
      <c r="R34" s="117"/>
      <c r="S34" s="117"/>
      <c r="T34" s="117"/>
      <c r="U34" s="117"/>
      <c r="V34" s="117"/>
      <c r="W34" s="380"/>
    </row>
    <row r="35" spans="1:26" ht="13.5" thickBot="1">
      <c r="A35" s="385" t="s">
        <v>632</v>
      </c>
      <c r="B35" s="386"/>
      <c r="C35" s="386"/>
      <c r="D35" s="386"/>
      <c r="E35" s="386"/>
      <c r="F35" s="386"/>
      <c r="G35" s="386"/>
      <c r="H35" s="386"/>
      <c r="I35" s="386"/>
      <c r="J35" s="386"/>
      <c r="K35" s="386"/>
      <c r="L35" s="386"/>
      <c r="M35" s="386"/>
      <c r="N35" s="386"/>
      <c r="O35" s="386"/>
      <c r="P35" s="386"/>
      <c r="Q35" s="386"/>
      <c r="R35" s="386"/>
      <c r="S35" s="386"/>
      <c r="T35" s="386"/>
      <c r="U35" s="386"/>
      <c r="V35" s="386"/>
      <c r="W35" s="387"/>
    </row>
    <row r="36" spans="1:26">
      <c r="A36" s="117"/>
      <c r="B36" s="117"/>
      <c r="C36" s="117"/>
      <c r="D36" s="117"/>
      <c r="E36" s="117"/>
      <c r="F36" s="117"/>
      <c r="G36" s="117"/>
      <c r="H36" s="117"/>
      <c r="I36" s="117"/>
      <c r="J36" s="117"/>
      <c r="K36" s="117"/>
      <c r="L36" s="117"/>
      <c r="M36" s="117"/>
      <c r="N36" s="117"/>
      <c r="O36" s="117"/>
      <c r="P36" s="117"/>
      <c r="Q36" s="117"/>
      <c r="R36" s="117"/>
      <c r="S36" s="117"/>
      <c r="T36" s="117"/>
      <c r="U36" s="117"/>
      <c r="V36" s="117"/>
      <c r="W36" s="117"/>
      <c r="X36" s="117"/>
      <c r="Y36" s="117"/>
      <c r="Z36" s="117"/>
    </row>
    <row r="37" spans="1:26" ht="13.5" hidden="1" thickBot="1">
      <c r="A37" s="117"/>
      <c r="B37" s="117"/>
      <c r="C37" s="117"/>
      <c r="D37" s="117"/>
      <c r="E37" s="117"/>
      <c r="F37" s="117"/>
      <c r="G37" s="117"/>
      <c r="H37" s="117"/>
      <c r="I37" s="117"/>
      <c r="J37" s="117"/>
      <c r="K37" s="117"/>
      <c r="L37" s="117"/>
      <c r="M37" s="117"/>
      <c r="N37" s="117"/>
      <c r="O37" s="117"/>
      <c r="P37" s="117"/>
      <c r="Q37" s="117"/>
      <c r="R37" s="117"/>
      <c r="S37" s="117"/>
      <c r="T37" s="117"/>
      <c r="U37" s="117"/>
      <c r="V37" s="117"/>
      <c r="W37" s="117"/>
      <c r="X37" s="117"/>
      <c r="Y37" s="117"/>
      <c r="Z37" s="117"/>
    </row>
    <row r="38" spans="1:26" ht="18.75" hidden="1" thickBot="1">
      <c r="A38" s="475" t="s">
        <v>556</v>
      </c>
      <c r="B38" s="476"/>
      <c r="C38" s="476"/>
      <c r="D38" s="476"/>
      <c r="E38" s="476"/>
      <c r="F38" s="476"/>
      <c r="G38" s="476"/>
      <c r="H38" s="476"/>
      <c r="I38" s="476"/>
      <c r="J38" s="476"/>
      <c r="K38" s="477"/>
      <c r="L38" s="117"/>
      <c r="M38" s="117"/>
    </row>
    <row r="39" spans="1:26" ht="18.75" hidden="1" thickBot="1">
      <c r="A39" s="377" t="s">
        <v>515</v>
      </c>
      <c r="B39" s="117"/>
      <c r="C39" s="117"/>
      <c r="D39" s="117"/>
      <c r="E39" s="117"/>
      <c r="F39" s="472" t="s">
        <v>516</v>
      </c>
      <c r="G39" s="472"/>
      <c r="H39" s="412">
        <v>20</v>
      </c>
      <c r="I39" s="413" t="s">
        <v>517</v>
      </c>
      <c r="J39" s="117"/>
      <c r="K39" s="380"/>
    </row>
    <row r="40" spans="1:26" ht="18" hidden="1">
      <c r="A40" s="377" t="s">
        <v>557</v>
      </c>
      <c r="B40" s="117"/>
      <c r="C40" s="117"/>
      <c r="D40" s="117"/>
      <c r="E40" s="117"/>
      <c r="F40" s="117"/>
      <c r="G40" s="117"/>
      <c r="H40" s="378">
        <f>V64</f>
        <v>56877600</v>
      </c>
      <c r="I40" s="379" t="s">
        <v>519</v>
      </c>
      <c r="J40" s="117"/>
      <c r="K40" s="380"/>
    </row>
    <row r="41" spans="1:26" ht="18.75" hidden="1" thickBot="1">
      <c r="A41" s="381"/>
      <c r="B41" s="117"/>
      <c r="C41" s="117"/>
      <c r="D41" s="117"/>
      <c r="E41" s="117"/>
      <c r="F41" s="117"/>
      <c r="G41" s="117"/>
      <c r="H41" s="378">
        <f>H40/$D$8</f>
        <v>14219400</v>
      </c>
      <c r="I41" s="379" t="s">
        <v>520</v>
      </c>
      <c r="J41" s="117"/>
      <c r="K41" s="380"/>
    </row>
    <row r="42" spans="1:26" ht="18.75" hidden="1" thickBot="1">
      <c r="A42" s="377" t="s">
        <v>521</v>
      </c>
      <c r="B42" s="382"/>
      <c r="C42" s="382"/>
      <c r="D42" s="374">
        <v>1</v>
      </c>
      <c r="E42" s="117"/>
      <c r="F42" s="117"/>
      <c r="G42" s="117"/>
      <c r="H42" s="378">
        <f>H41/H39</f>
        <v>710970</v>
      </c>
      <c r="I42" s="379" t="s">
        <v>522</v>
      </c>
      <c r="J42" s="117"/>
      <c r="K42" s="380"/>
    </row>
    <row r="43" spans="1:26" ht="18.75" hidden="1" thickBot="1">
      <c r="A43" s="381"/>
      <c r="B43" s="117"/>
      <c r="C43" s="117"/>
      <c r="D43" s="117"/>
      <c r="E43" s="117"/>
      <c r="F43" s="117"/>
      <c r="G43" s="117"/>
      <c r="H43" s="414">
        <f>H42/C54</f>
        <v>88.871250000000003</v>
      </c>
      <c r="I43" s="379" t="s">
        <v>523</v>
      </c>
      <c r="J43" s="117"/>
      <c r="K43" s="380"/>
    </row>
    <row r="44" spans="1:26" ht="13.5" hidden="1" thickBot="1">
      <c r="A44" s="381"/>
      <c r="B44" s="117"/>
      <c r="C44" s="117"/>
      <c r="D44" s="117"/>
      <c r="E44" s="117"/>
      <c r="F44" s="117"/>
      <c r="G44" s="117"/>
      <c r="H44" s="117"/>
      <c r="I44" s="117"/>
      <c r="J44" s="117"/>
      <c r="K44" s="380"/>
    </row>
    <row r="45" spans="1:26" ht="15.75" hidden="1">
      <c r="A45" s="415"/>
      <c r="B45" s="391"/>
      <c r="C45" s="391"/>
      <c r="D45" s="416" t="s">
        <v>524</v>
      </c>
      <c r="E45" s="391"/>
      <c r="F45" s="391"/>
      <c r="G45" s="391"/>
      <c r="H45" s="391"/>
      <c r="I45" s="391"/>
      <c r="J45" s="391"/>
      <c r="K45" s="391"/>
      <c r="L45" s="373"/>
      <c r="M45" s="391"/>
      <c r="N45" s="391"/>
      <c r="O45" s="391"/>
      <c r="P45" s="391"/>
      <c r="Q45" s="391"/>
      <c r="R45" s="391"/>
      <c r="S45" s="391"/>
      <c r="T45" s="391"/>
      <c r="U45" s="391"/>
      <c r="V45" s="373"/>
      <c r="W45" s="376"/>
    </row>
    <row r="46" spans="1:26" hidden="1">
      <c r="A46" s="392" t="s">
        <v>525</v>
      </c>
      <c r="B46" s="393"/>
      <c r="C46" s="394"/>
      <c r="D46" s="395">
        <v>0</v>
      </c>
      <c r="E46" s="396" t="s">
        <v>526</v>
      </c>
      <c r="F46" s="389"/>
      <c r="G46" s="389"/>
      <c r="H46" s="397" t="s">
        <v>527</v>
      </c>
      <c r="I46" s="397"/>
      <c r="J46" s="389"/>
      <c r="K46" s="389"/>
      <c r="L46" s="117"/>
      <c r="M46" s="389"/>
      <c r="N46" s="389"/>
      <c r="O46" s="389"/>
      <c r="P46" s="389"/>
      <c r="Q46" s="389"/>
      <c r="R46" s="389"/>
      <c r="S46" s="389"/>
      <c r="T46" s="389"/>
      <c r="U46" s="389"/>
      <c r="V46" s="117"/>
      <c r="W46" s="380"/>
    </row>
    <row r="47" spans="1:26" hidden="1">
      <c r="A47" s="392" t="s">
        <v>528</v>
      </c>
      <c r="B47" s="393"/>
      <c r="C47" s="394"/>
      <c r="D47" s="395">
        <v>23900</v>
      </c>
      <c r="E47" s="398" t="s">
        <v>529</v>
      </c>
      <c r="F47" s="389"/>
      <c r="G47" s="389"/>
      <c r="H47" s="397" t="s">
        <v>558</v>
      </c>
      <c r="I47" s="117"/>
      <c r="J47" s="389"/>
      <c r="K47" s="389"/>
      <c r="L47" s="117"/>
      <c r="M47" s="389"/>
      <c r="N47" s="389"/>
      <c r="O47" s="389"/>
      <c r="P47" s="389"/>
      <c r="Q47" s="389"/>
      <c r="R47" s="389"/>
      <c r="S47" s="389"/>
      <c r="T47" s="389"/>
      <c r="U47" s="389"/>
      <c r="V47" s="117"/>
      <c r="W47" s="380"/>
    </row>
    <row r="48" spans="1:26" hidden="1">
      <c r="A48" s="392" t="s">
        <v>530</v>
      </c>
      <c r="B48" s="393"/>
      <c r="C48" s="394"/>
      <c r="D48" s="395">
        <v>0</v>
      </c>
      <c r="E48" s="398" t="s">
        <v>531</v>
      </c>
      <c r="F48" s="389"/>
      <c r="G48" s="389"/>
      <c r="H48" s="397" t="s">
        <v>532</v>
      </c>
      <c r="I48" s="397"/>
      <c r="J48" s="389"/>
      <c r="K48" s="389"/>
      <c r="L48" s="117"/>
      <c r="M48" s="389"/>
      <c r="N48" s="389"/>
      <c r="O48" s="389"/>
      <c r="P48" s="389"/>
      <c r="Q48" s="389"/>
      <c r="R48" s="389"/>
      <c r="S48" s="389"/>
      <c r="T48" s="389"/>
      <c r="U48" s="389"/>
      <c r="V48" s="117"/>
      <c r="W48" s="380"/>
    </row>
    <row r="49" spans="1:23" hidden="1">
      <c r="A49" s="392" t="s">
        <v>533</v>
      </c>
      <c r="B49" s="393"/>
      <c r="C49" s="394"/>
      <c r="D49" s="395">
        <v>1403000</v>
      </c>
      <c r="E49" s="398" t="s">
        <v>534</v>
      </c>
      <c r="F49" s="397" t="s">
        <v>559</v>
      </c>
      <c r="G49" s="389"/>
      <c r="H49" s="397" t="s">
        <v>535</v>
      </c>
      <c r="I49" s="117"/>
      <c r="J49" s="389"/>
      <c r="K49" s="389"/>
      <c r="L49" s="117"/>
      <c r="M49" s="389"/>
      <c r="N49" s="389"/>
      <c r="O49" s="389"/>
      <c r="P49" s="389"/>
      <c r="Q49" s="389"/>
      <c r="R49" s="389"/>
      <c r="S49" s="389"/>
      <c r="T49" s="389"/>
      <c r="U49" s="389"/>
      <c r="V49" s="117"/>
      <c r="W49" s="380"/>
    </row>
    <row r="50" spans="1:23" hidden="1">
      <c r="A50" s="392" t="s">
        <v>536</v>
      </c>
      <c r="B50" s="393"/>
      <c r="C50" s="394"/>
      <c r="D50" s="395">
        <v>3000000</v>
      </c>
      <c r="E50" s="398" t="s">
        <v>534</v>
      </c>
      <c r="F50" s="389"/>
      <c r="G50" s="389"/>
      <c r="H50" s="397" t="s">
        <v>537</v>
      </c>
      <c r="I50" s="117"/>
      <c r="J50" s="389"/>
      <c r="K50" s="389"/>
      <c r="L50" s="117"/>
      <c r="M50" s="389"/>
      <c r="N50" s="389"/>
      <c r="O50" s="389"/>
      <c r="P50" s="389"/>
      <c r="Q50" s="389"/>
      <c r="R50" s="389"/>
      <c r="S50" s="389"/>
      <c r="T50" s="389"/>
      <c r="U50" s="389"/>
      <c r="V50" s="117"/>
      <c r="W50" s="380"/>
    </row>
    <row r="51" spans="1:23" hidden="1">
      <c r="A51" s="392" t="s">
        <v>538</v>
      </c>
      <c r="B51" s="393"/>
      <c r="C51" s="394"/>
      <c r="D51" s="399">
        <v>25000</v>
      </c>
      <c r="E51" s="400"/>
      <c r="F51" s="389"/>
      <c r="G51" s="389"/>
      <c r="H51" s="397" t="s">
        <v>539</v>
      </c>
      <c r="I51" s="389"/>
      <c r="J51" s="389"/>
      <c r="K51" s="389"/>
      <c r="L51" s="117"/>
      <c r="M51" s="389"/>
      <c r="N51" s="389"/>
      <c r="O51" s="389"/>
      <c r="P51" s="389"/>
      <c r="Q51" s="389"/>
      <c r="R51" s="389"/>
      <c r="S51" s="389"/>
      <c r="T51" s="389"/>
      <c r="U51" s="389"/>
      <c r="V51" s="117"/>
      <c r="W51" s="380"/>
    </row>
    <row r="52" spans="1:23" hidden="1">
      <c r="A52" s="392" t="s">
        <v>540</v>
      </c>
      <c r="B52" s="393"/>
      <c r="C52" s="394"/>
      <c r="D52" s="399">
        <v>25000</v>
      </c>
      <c r="E52" s="400"/>
      <c r="F52" s="389"/>
      <c r="G52" s="389"/>
      <c r="H52" s="397" t="s">
        <v>539</v>
      </c>
      <c r="I52" s="389"/>
      <c r="J52" s="389"/>
      <c r="K52" s="117"/>
      <c r="L52" s="117"/>
      <c r="M52" s="117"/>
      <c r="N52" s="117"/>
      <c r="O52" s="117"/>
      <c r="P52" s="117"/>
      <c r="Q52" s="117"/>
      <c r="R52" s="117"/>
      <c r="S52" s="117"/>
      <c r="T52" s="117"/>
      <c r="U52" s="117"/>
      <c r="V52" s="117"/>
      <c r="W52" s="380"/>
    </row>
    <row r="53" spans="1:23" hidden="1">
      <c r="A53" s="381"/>
      <c r="B53" s="389"/>
      <c r="C53" s="389"/>
      <c r="D53" s="389"/>
      <c r="E53" s="389"/>
      <c r="F53" s="389"/>
      <c r="G53" s="389"/>
      <c r="H53" s="389"/>
      <c r="I53" s="389"/>
      <c r="J53" s="389"/>
      <c r="K53" s="117"/>
      <c r="L53" s="117"/>
      <c r="M53" s="117"/>
      <c r="N53" s="117"/>
      <c r="O53" s="117"/>
      <c r="P53" s="117"/>
      <c r="Q53" s="117"/>
      <c r="R53" s="117"/>
      <c r="S53" s="117"/>
      <c r="T53" s="117"/>
      <c r="U53" s="117"/>
      <c r="V53" s="117"/>
      <c r="W53" s="380"/>
    </row>
    <row r="54" spans="1:23" hidden="1">
      <c r="A54" s="401" t="s">
        <v>541</v>
      </c>
      <c r="B54" s="402"/>
      <c r="C54" s="403">
        <v>8000</v>
      </c>
      <c r="D54" s="404" t="s">
        <v>542</v>
      </c>
      <c r="E54" s="117"/>
      <c r="F54" s="117"/>
      <c r="G54" s="117"/>
      <c r="H54" s="117"/>
      <c r="I54" s="117"/>
      <c r="J54" s="117"/>
      <c r="K54" s="117"/>
      <c r="L54" s="117"/>
      <c r="M54" s="117"/>
      <c r="N54" s="117"/>
      <c r="O54" s="117"/>
      <c r="P54" s="117"/>
      <c r="Q54" s="117"/>
      <c r="R54" s="117"/>
      <c r="S54" s="117"/>
      <c r="T54" s="117"/>
      <c r="U54" s="117"/>
      <c r="V54" s="117"/>
      <c r="W54" s="380"/>
    </row>
    <row r="55" spans="1:23" hidden="1">
      <c r="A55" s="381" t="s">
        <v>543</v>
      </c>
      <c r="B55" s="179">
        <v>0</v>
      </c>
      <c r="C55" s="179">
        <v>1</v>
      </c>
      <c r="D55" s="179">
        <v>2</v>
      </c>
      <c r="E55" s="179">
        <v>3</v>
      </c>
      <c r="F55" s="179">
        <v>4</v>
      </c>
      <c r="G55" s="179">
        <v>5</v>
      </c>
      <c r="H55" s="179">
        <v>6</v>
      </c>
      <c r="I55" s="179">
        <v>7</v>
      </c>
      <c r="J55" s="179">
        <v>8</v>
      </c>
      <c r="K55" s="179">
        <v>9</v>
      </c>
      <c r="L55" s="179">
        <v>10</v>
      </c>
      <c r="M55" s="179">
        <v>11</v>
      </c>
      <c r="N55" s="179">
        <v>12</v>
      </c>
      <c r="O55" s="179">
        <v>13</v>
      </c>
      <c r="P55" s="179">
        <v>14</v>
      </c>
      <c r="Q55" s="179">
        <v>15</v>
      </c>
      <c r="R55" s="179">
        <v>16</v>
      </c>
      <c r="S55" s="179">
        <v>17</v>
      </c>
      <c r="T55" s="179">
        <v>18</v>
      </c>
      <c r="U55" s="179">
        <v>19</v>
      </c>
      <c r="V55" s="179">
        <v>20</v>
      </c>
      <c r="W55" s="380"/>
    </row>
    <row r="56" spans="1:23" hidden="1">
      <c r="A56" s="381" t="s">
        <v>544</v>
      </c>
      <c r="B56" s="405"/>
      <c r="C56" s="405">
        <f>$C54</f>
        <v>8000</v>
      </c>
      <c r="D56" s="405">
        <f t="shared" ref="D56:V56" si="7">C56+$C54</f>
        <v>16000</v>
      </c>
      <c r="E56" s="405">
        <f t="shared" si="7"/>
        <v>24000</v>
      </c>
      <c r="F56" s="405">
        <f t="shared" si="7"/>
        <v>32000</v>
      </c>
      <c r="G56" s="405">
        <f t="shared" si="7"/>
        <v>40000</v>
      </c>
      <c r="H56" s="405">
        <f t="shared" si="7"/>
        <v>48000</v>
      </c>
      <c r="I56" s="405">
        <f t="shared" si="7"/>
        <v>56000</v>
      </c>
      <c r="J56" s="405">
        <f t="shared" si="7"/>
        <v>64000</v>
      </c>
      <c r="K56" s="405">
        <f t="shared" si="7"/>
        <v>72000</v>
      </c>
      <c r="L56" s="405">
        <f t="shared" si="7"/>
        <v>80000</v>
      </c>
      <c r="M56" s="405">
        <f t="shared" si="7"/>
        <v>88000</v>
      </c>
      <c r="N56" s="405">
        <f t="shared" si="7"/>
        <v>96000</v>
      </c>
      <c r="O56" s="405">
        <f t="shared" si="7"/>
        <v>104000</v>
      </c>
      <c r="P56" s="405">
        <f t="shared" si="7"/>
        <v>112000</v>
      </c>
      <c r="Q56" s="405">
        <f t="shared" si="7"/>
        <v>120000</v>
      </c>
      <c r="R56" s="405">
        <f t="shared" si="7"/>
        <v>128000</v>
      </c>
      <c r="S56" s="405">
        <f t="shared" si="7"/>
        <v>136000</v>
      </c>
      <c r="T56" s="405">
        <f t="shared" si="7"/>
        <v>144000</v>
      </c>
      <c r="U56" s="405">
        <f t="shared" si="7"/>
        <v>152000</v>
      </c>
      <c r="V56" s="405">
        <f t="shared" si="7"/>
        <v>160000</v>
      </c>
      <c r="W56" s="380"/>
    </row>
    <row r="57" spans="1:23" hidden="1">
      <c r="A57" s="381" t="s">
        <v>560</v>
      </c>
      <c r="B57" s="179"/>
      <c r="C57" s="179"/>
      <c r="D57" s="179"/>
      <c r="E57" s="179" t="s">
        <v>561</v>
      </c>
      <c r="F57" s="179"/>
      <c r="G57" s="179"/>
      <c r="H57" s="179" t="s">
        <v>837</v>
      </c>
      <c r="I57" s="179"/>
      <c r="J57" s="179"/>
      <c r="K57" s="179"/>
      <c r="L57" s="179" t="s">
        <v>561</v>
      </c>
      <c r="M57" s="179"/>
      <c r="N57" s="179" t="s">
        <v>837</v>
      </c>
      <c r="O57" s="179"/>
      <c r="P57" s="179"/>
      <c r="Q57" s="179" t="s">
        <v>561</v>
      </c>
      <c r="R57" s="179"/>
      <c r="S57" s="179"/>
      <c r="T57" s="179" t="s">
        <v>837</v>
      </c>
      <c r="U57" s="179"/>
      <c r="V57" s="179"/>
      <c r="W57" s="380"/>
    </row>
    <row r="58" spans="1:23" hidden="1">
      <c r="A58" s="381" t="s">
        <v>562</v>
      </c>
      <c r="B58" s="406">
        <f t="shared" ref="B58:V58" si="8">IF(B57="H",$D$8*$D49,IF(B57="M",$D$8*$D50,0))</f>
        <v>0</v>
      </c>
      <c r="C58" s="406">
        <f t="shared" si="8"/>
        <v>0</v>
      </c>
      <c r="D58" s="406">
        <f t="shared" si="8"/>
        <v>0</v>
      </c>
      <c r="E58" s="406">
        <f t="shared" si="8"/>
        <v>5612000</v>
      </c>
      <c r="F58" s="406">
        <f t="shared" si="8"/>
        <v>0</v>
      </c>
      <c r="G58" s="406">
        <f t="shared" si="8"/>
        <v>0</v>
      </c>
      <c r="H58" s="406">
        <f t="shared" si="8"/>
        <v>12000000</v>
      </c>
      <c r="I58" s="406">
        <f t="shared" si="8"/>
        <v>0</v>
      </c>
      <c r="J58" s="406">
        <f t="shared" si="8"/>
        <v>0</v>
      </c>
      <c r="K58" s="406">
        <f t="shared" si="8"/>
        <v>0</v>
      </c>
      <c r="L58" s="406">
        <f t="shared" si="8"/>
        <v>5612000</v>
      </c>
      <c r="M58" s="406">
        <f t="shared" si="8"/>
        <v>0</v>
      </c>
      <c r="N58" s="406">
        <f t="shared" si="8"/>
        <v>12000000</v>
      </c>
      <c r="O58" s="406">
        <f t="shared" si="8"/>
        <v>0</v>
      </c>
      <c r="P58" s="406">
        <f t="shared" si="8"/>
        <v>0</v>
      </c>
      <c r="Q58" s="406">
        <f t="shared" si="8"/>
        <v>5612000</v>
      </c>
      <c r="R58" s="406">
        <f t="shared" si="8"/>
        <v>0</v>
      </c>
      <c r="S58" s="406">
        <f t="shared" si="8"/>
        <v>0</v>
      </c>
      <c r="T58" s="406">
        <f t="shared" si="8"/>
        <v>12000000</v>
      </c>
      <c r="U58" s="406">
        <f t="shared" si="8"/>
        <v>0</v>
      </c>
      <c r="V58" s="406">
        <f t="shared" si="8"/>
        <v>0</v>
      </c>
      <c r="W58" s="380"/>
    </row>
    <row r="59" spans="1:23" hidden="1">
      <c r="A59" s="381" t="s">
        <v>548</v>
      </c>
      <c r="B59" s="406"/>
      <c r="C59" s="406">
        <f t="shared" ref="C59:V59" si="9">$D48*$D$8</f>
        <v>0</v>
      </c>
      <c r="D59" s="406">
        <f t="shared" si="9"/>
        <v>0</v>
      </c>
      <c r="E59" s="406">
        <f t="shared" si="9"/>
        <v>0</v>
      </c>
      <c r="F59" s="406">
        <f t="shared" si="9"/>
        <v>0</v>
      </c>
      <c r="G59" s="406">
        <f t="shared" si="9"/>
        <v>0</v>
      </c>
      <c r="H59" s="406">
        <f t="shared" si="9"/>
        <v>0</v>
      </c>
      <c r="I59" s="406">
        <f t="shared" si="9"/>
        <v>0</v>
      </c>
      <c r="J59" s="406">
        <f t="shared" si="9"/>
        <v>0</v>
      </c>
      <c r="K59" s="406">
        <f t="shared" si="9"/>
        <v>0</v>
      </c>
      <c r="L59" s="406">
        <f t="shared" si="9"/>
        <v>0</v>
      </c>
      <c r="M59" s="406">
        <f t="shared" si="9"/>
        <v>0</v>
      </c>
      <c r="N59" s="406">
        <f t="shared" si="9"/>
        <v>0</v>
      </c>
      <c r="O59" s="406">
        <f t="shared" si="9"/>
        <v>0</v>
      </c>
      <c r="P59" s="406">
        <f t="shared" si="9"/>
        <v>0</v>
      </c>
      <c r="Q59" s="406">
        <f t="shared" si="9"/>
        <v>0</v>
      </c>
      <c r="R59" s="406">
        <f t="shared" si="9"/>
        <v>0</v>
      </c>
      <c r="S59" s="406">
        <f t="shared" si="9"/>
        <v>0</v>
      </c>
      <c r="T59" s="406">
        <f t="shared" si="9"/>
        <v>0</v>
      </c>
      <c r="U59" s="406">
        <f t="shared" si="9"/>
        <v>0</v>
      </c>
      <c r="V59" s="406">
        <f t="shared" si="9"/>
        <v>0</v>
      </c>
      <c r="W59" s="380"/>
    </row>
    <row r="60" spans="1:23" hidden="1">
      <c r="A60" s="381" t="s">
        <v>549</v>
      </c>
      <c r="B60" s="406">
        <f t="shared" ref="B60:V60" si="10">IF(B57="H",$D51*$D$8,IF(B57="M",$D52*$D$8,0))</f>
        <v>0</v>
      </c>
      <c r="C60" s="406">
        <f t="shared" si="10"/>
        <v>0</v>
      </c>
      <c r="D60" s="406">
        <f t="shared" si="10"/>
        <v>0</v>
      </c>
      <c r="E60" s="406">
        <f t="shared" si="10"/>
        <v>100000</v>
      </c>
      <c r="F60" s="406">
        <f t="shared" si="10"/>
        <v>0</v>
      </c>
      <c r="G60" s="406">
        <f t="shared" si="10"/>
        <v>0</v>
      </c>
      <c r="H60" s="406">
        <f t="shared" si="10"/>
        <v>100000</v>
      </c>
      <c r="I60" s="406">
        <f t="shared" si="10"/>
        <v>0</v>
      </c>
      <c r="J60" s="406">
        <f t="shared" si="10"/>
        <v>0</v>
      </c>
      <c r="K60" s="406">
        <f t="shared" si="10"/>
        <v>0</v>
      </c>
      <c r="L60" s="406">
        <f t="shared" si="10"/>
        <v>100000</v>
      </c>
      <c r="M60" s="406">
        <f t="shared" si="10"/>
        <v>0</v>
      </c>
      <c r="N60" s="406">
        <f t="shared" si="10"/>
        <v>100000</v>
      </c>
      <c r="O60" s="406">
        <f t="shared" si="10"/>
        <v>0</v>
      </c>
      <c r="P60" s="406">
        <f t="shared" si="10"/>
        <v>0</v>
      </c>
      <c r="Q60" s="406">
        <f t="shared" si="10"/>
        <v>100000</v>
      </c>
      <c r="R60" s="406">
        <f t="shared" si="10"/>
        <v>0</v>
      </c>
      <c r="S60" s="406">
        <f t="shared" si="10"/>
        <v>0</v>
      </c>
      <c r="T60" s="406">
        <f t="shared" si="10"/>
        <v>100000</v>
      </c>
      <c r="U60" s="406">
        <f t="shared" si="10"/>
        <v>0</v>
      </c>
      <c r="V60" s="406">
        <f t="shared" si="10"/>
        <v>0</v>
      </c>
      <c r="W60" s="380"/>
    </row>
    <row r="61" spans="1:23" hidden="1">
      <c r="A61" s="381" t="s">
        <v>550</v>
      </c>
      <c r="B61" s="179"/>
      <c r="C61" s="406">
        <f t="shared" ref="C61:V61" si="11">$D46*$D$8</f>
        <v>0</v>
      </c>
      <c r="D61" s="406">
        <f t="shared" si="11"/>
        <v>0</v>
      </c>
      <c r="E61" s="406">
        <f t="shared" si="11"/>
        <v>0</v>
      </c>
      <c r="F61" s="406">
        <f t="shared" si="11"/>
        <v>0</v>
      </c>
      <c r="G61" s="406">
        <f t="shared" si="11"/>
        <v>0</v>
      </c>
      <c r="H61" s="406">
        <f t="shared" si="11"/>
        <v>0</v>
      </c>
      <c r="I61" s="406">
        <f t="shared" si="11"/>
        <v>0</v>
      </c>
      <c r="J61" s="406">
        <f t="shared" si="11"/>
        <v>0</v>
      </c>
      <c r="K61" s="406">
        <f t="shared" si="11"/>
        <v>0</v>
      </c>
      <c r="L61" s="406">
        <f t="shared" si="11"/>
        <v>0</v>
      </c>
      <c r="M61" s="406">
        <f t="shared" si="11"/>
        <v>0</v>
      </c>
      <c r="N61" s="406">
        <f t="shared" si="11"/>
        <v>0</v>
      </c>
      <c r="O61" s="406">
        <f t="shared" si="11"/>
        <v>0</v>
      </c>
      <c r="P61" s="406">
        <f t="shared" si="11"/>
        <v>0</v>
      </c>
      <c r="Q61" s="406">
        <f t="shared" si="11"/>
        <v>0</v>
      </c>
      <c r="R61" s="406">
        <f t="shared" si="11"/>
        <v>0</v>
      </c>
      <c r="S61" s="406">
        <f t="shared" si="11"/>
        <v>0</v>
      </c>
      <c r="T61" s="406">
        <f t="shared" si="11"/>
        <v>0</v>
      </c>
      <c r="U61" s="406">
        <f t="shared" si="11"/>
        <v>0</v>
      </c>
      <c r="V61" s="406">
        <f t="shared" si="11"/>
        <v>0</v>
      </c>
      <c r="W61" s="380"/>
    </row>
    <row r="62" spans="1:23" hidden="1">
      <c r="A62" s="381" t="s">
        <v>551</v>
      </c>
      <c r="B62" s="406">
        <f t="shared" ref="B62:V62" si="12">IF(B57="M",$D$8*($D47*12),0)</f>
        <v>0</v>
      </c>
      <c r="C62" s="406">
        <f t="shared" si="12"/>
        <v>0</v>
      </c>
      <c r="D62" s="406">
        <f t="shared" si="12"/>
        <v>0</v>
      </c>
      <c r="E62" s="406">
        <f t="shared" si="12"/>
        <v>0</v>
      </c>
      <c r="F62" s="406">
        <f t="shared" si="12"/>
        <v>0</v>
      </c>
      <c r="G62" s="406">
        <f t="shared" si="12"/>
        <v>0</v>
      </c>
      <c r="H62" s="406">
        <f t="shared" si="12"/>
        <v>1147200</v>
      </c>
      <c r="I62" s="406">
        <f t="shared" si="12"/>
        <v>0</v>
      </c>
      <c r="J62" s="406">
        <f t="shared" si="12"/>
        <v>0</v>
      </c>
      <c r="K62" s="406">
        <f t="shared" si="12"/>
        <v>0</v>
      </c>
      <c r="L62" s="406">
        <f t="shared" si="12"/>
        <v>0</v>
      </c>
      <c r="M62" s="406">
        <f t="shared" si="12"/>
        <v>0</v>
      </c>
      <c r="N62" s="406">
        <f t="shared" si="12"/>
        <v>1147200</v>
      </c>
      <c r="O62" s="406">
        <f t="shared" si="12"/>
        <v>0</v>
      </c>
      <c r="P62" s="406">
        <f t="shared" si="12"/>
        <v>0</v>
      </c>
      <c r="Q62" s="406">
        <f t="shared" si="12"/>
        <v>0</v>
      </c>
      <c r="R62" s="406">
        <f t="shared" si="12"/>
        <v>0</v>
      </c>
      <c r="S62" s="406">
        <f t="shared" si="12"/>
        <v>0</v>
      </c>
      <c r="T62" s="406">
        <f t="shared" si="12"/>
        <v>1147200</v>
      </c>
      <c r="U62" s="406">
        <f t="shared" si="12"/>
        <v>0</v>
      </c>
      <c r="V62" s="406">
        <f t="shared" si="12"/>
        <v>0</v>
      </c>
      <c r="W62" s="380"/>
    </row>
    <row r="63" spans="1:23" ht="15.75" hidden="1">
      <c r="A63" s="381"/>
      <c r="B63" s="408">
        <f t="shared" ref="B63:V63" si="13">SUM(B58:B62)</f>
        <v>0</v>
      </c>
      <c r="C63" s="408">
        <f t="shared" si="13"/>
        <v>0</v>
      </c>
      <c r="D63" s="408">
        <f t="shared" si="13"/>
        <v>0</v>
      </c>
      <c r="E63" s="408">
        <f t="shared" si="13"/>
        <v>5712000</v>
      </c>
      <c r="F63" s="408">
        <f t="shared" si="13"/>
        <v>0</v>
      </c>
      <c r="G63" s="408">
        <f t="shared" si="13"/>
        <v>0</v>
      </c>
      <c r="H63" s="408">
        <f t="shared" si="13"/>
        <v>13247200</v>
      </c>
      <c r="I63" s="408">
        <f t="shared" si="13"/>
        <v>0</v>
      </c>
      <c r="J63" s="408">
        <f t="shared" si="13"/>
        <v>0</v>
      </c>
      <c r="K63" s="408">
        <f t="shared" si="13"/>
        <v>0</v>
      </c>
      <c r="L63" s="408">
        <f t="shared" si="13"/>
        <v>5712000</v>
      </c>
      <c r="M63" s="408">
        <f t="shared" si="13"/>
        <v>0</v>
      </c>
      <c r="N63" s="408">
        <f t="shared" si="13"/>
        <v>13247200</v>
      </c>
      <c r="O63" s="408">
        <f t="shared" si="13"/>
        <v>0</v>
      </c>
      <c r="P63" s="408">
        <f t="shared" si="13"/>
        <v>0</v>
      </c>
      <c r="Q63" s="408">
        <f t="shared" si="13"/>
        <v>5712000</v>
      </c>
      <c r="R63" s="408">
        <f t="shared" si="13"/>
        <v>0</v>
      </c>
      <c r="S63" s="408">
        <f t="shared" si="13"/>
        <v>0</v>
      </c>
      <c r="T63" s="408">
        <f t="shared" si="13"/>
        <v>13247200</v>
      </c>
      <c r="U63" s="408">
        <f t="shared" si="13"/>
        <v>0</v>
      </c>
      <c r="V63" s="408">
        <f t="shared" si="13"/>
        <v>0</v>
      </c>
      <c r="W63" s="380"/>
    </row>
    <row r="64" spans="1:23" ht="15.75" hidden="1">
      <c r="A64" s="381"/>
      <c r="B64" s="408"/>
      <c r="C64" s="408">
        <f t="shared" ref="C64:V64" si="14">B64+C63</f>
        <v>0</v>
      </c>
      <c r="D64" s="408">
        <f t="shared" si="14"/>
        <v>0</v>
      </c>
      <c r="E64" s="408">
        <f t="shared" si="14"/>
        <v>5712000</v>
      </c>
      <c r="F64" s="408">
        <f t="shared" si="14"/>
        <v>5712000</v>
      </c>
      <c r="G64" s="408">
        <f t="shared" si="14"/>
        <v>5712000</v>
      </c>
      <c r="H64" s="408">
        <f t="shared" si="14"/>
        <v>18959200</v>
      </c>
      <c r="I64" s="408">
        <f t="shared" si="14"/>
        <v>18959200</v>
      </c>
      <c r="J64" s="408">
        <f t="shared" si="14"/>
        <v>18959200</v>
      </c>
      <c r="K64" s="408">
        <f t="shared" si="14"/>
        <v>18959200</v>
      </c>
      <c r="L64" s="408">
        <f t="shared" si="14"/>
        <v>24671200</v>
      </c>
      <c r="M64" s="408">
        <f t="shared" si="14"/>
        <v>24671200</v>
      </c>
      <c r="N64" s="408">
        <f t="shared" si="14"/>
        <v>37918400</v>
      </c>
      <c r="O64" s="408">
        <f t="shared" si="14"/>
        <v>37918400</v>
      </c>
      <c r="P64" s="408">
        <f t="shared" si="14"/>
        <v>37918400</v>
      </c>
      <c r="Q64" s="408">
        <f t="shared" si="14"/>
        <v>43630400</v>
      </c>
      <c r="R64" s="408">
        <f t="shared" si="14"/>
        <v>43630400</v>
      </c>
      <c r="S64" s="408">
        <f t="shared" si="14"/>
        <v>43630400</v>
      </c>
      <c r="T64" s="408">
        <f t="shared" si="14"/>
        <v>56877600</v>
      </c>
      <c r="U64" s="408">
        <f t="shared" si="14"/>
        <v>56877600</v>
      </c>
      <c r="V64" s="408">
        <f t="shared" si="14"/>
        <v>56877600</v>
      </c>
      <c r="W64" s="380"/>
    </row>
    <row r="65" spans="1:23" hidden="1">
      <c r="A65" s="381" t="s">
        <v>553</v>
      </c>
      <c r="B65" s="117"/>
      <c r="C65" s="117"/>
      <c r="D65" s="117"/>
      <c r="E65" s="117"/>
      <c r="F65" s="117"/>
      <c r="G65" s="117"/>
      <c r="H65" s="117"/>
      <c r="I65" s="117"/>
      <c r="J65" s="117"/>
      <c r="K65" s="117"/>
      <c r="L65" s="117"/>
      <c r="M65" s="117"/>
      <c r="N65" s="117"/>
      <c r="O65" s="117"/>
      <c r="P65" s="117"/>
      <c r="Q65" s="117"/>
      <c r="R65" s="117"/>
      <c r="S65" s="117"/>
      <c r="T65" s="117"/>
      <c r="U65" s="117"/>
      <c r="V65" s="117"/>
      <c r="W65" s="380"/>
    </row>
    <row r="66" spans="1:23" hidden="1">
      <c r="A66" s="381" t="s">
        <v>563</v>
      </c>
      <c r="B66" s="117"/>
      <c r="C66" s="117"/>
      <c r="D66" s="117"/>
      <c r="E66" s="117"/>
      <c r="F66" s="117"/>
      <c r="G66" s="117"/>
      <c r="H66" s="117"/>
      <c r="I66" s="117"/>
      <c r="J66" s="117"/>
      <c r="K66" s="117"/>
      <c r="L66" s="117"/>
      <c r="M66" s="117"/>
      <c r="N66" s="117"/>
      <c r="O66" s="117"/>
      <c r="P66" s="117"/>
      <c r="Q66" s="117"/>
      <c r="R66" s="117"/>
      <c r="S66" s="117"/>
      <c r="T66" s="117"/>
      <c r="U66" s="117"/>
      <c r="V66" s="117"/>
      <c r="W66" s="380"/>
    </row>
    <row r="67" spans="1:23" hidden="1">
      <c r="A67" s="381" t="s">
        <v>564</v>
      </c>
      <c r="B67" s="117"/>
      <c r="C67" s="117"/>
      <c r="D67" s="117"/>
      <c r="E67" s="117"/>
      <c r="F67" s="117"/>
      <c r="G67" s="117"/>
      <c r="H67" s="117"/>
      <c r="I67" s="117"/>
      <c r="J67" s="117"/>
      <c r="K67" s="117"/>
      <c r="L67" s="117"/>
      <c r="M67" s="117"/>
      <c r="N67" s="117"/>
      <c r="O67" s="117"/>
      <c r="P67" s="117"/>
      <c r="Q67" s="117"/>
      <c r="R67" s="117"/>
      <c r="S67" s="117"/>
      <c r="T67" s="117"/>
      <c r="U67" s="117"/>
      <c r="V67" s="117"/>
      <c r="W67" s="380"/>
    </row>
    <row r="68" spans="1:23" ht="13.5" hidden="1" thickBot="1">
      <c r="A68" s="385" t="s">
        <v>555</v>
      </c>
      <c r="B68" s="386"/>
      <c r="C68" s="386"/>
      <c r="D68" s="386"/>
      <c r="E68" s="386"/>
      <c r="F68" s="386"/>
      <c r="G68" s="386"/>
      <c r="H68" s="386"/>
      <c r="I68" s="386"/>
      <c r="J68" s="386"/>
      <c r="K68" s="386"/>
      <c r="L68" s="386"/>
      <c r="M68" s="386"/>
      <c r="N68" s="386"/>
      <c r="O68" s="386"/>
      <c r="P68" s="386"/>
      <c r="Q68" s="386"/>
      <c r="R68" s="386"/>
      <c r="S68" s="386"/>
      <c r="T68" s="386"/>
      <c r="U68" s="386"/>
      <c r="V68" s="386"/>
      <c r="W68" s="387"/>
    </row>
    <row r="69" spans="1:23" hidden="1"/>
    <row r="70" spans="1:23" hidden="1"/>
  </sheetData>
  <mergeCells count="6">
    <mergeCell ref="A1:W1"/>
    <mergeCell ref="F39:G39"/>
    <mergeCell ref="A2:W2"/>
    <mergeCell ref="A4:M4"/>
    <mergeCell ref="F5:G5"/>
    <mergeCell ref="A38:K38"/>
  </mergeCells>
  <printOptions horizontalCentered="1"/>
  <pageMargins left="0.75" right="0.75" top="1" bottom="1" header="0.5" footer="0.5"/>
  <pageSetup scale="40" orientation="landscape" horizontalDpi="4294967292" verticalDpi="4294967292" r:id="rId1"/>
  <headerFooter alignWithMargins="0">
    <oddFooter>&amp;LScot Chambers
&amp;D&amp;CPage _____&amp;R&amp;F
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3"/>
  <sheetViews>
    <sheetView showGridLines="0" topLeftCell="A16" zoomScale="75" workbookViewId="0"/>
  </sheetViews>
  <sheetFormatPr defaultRowHeight="12.75"/>
  <cols>
    <col min="7" max="7" width="14.140625" bestFit="1" customWidth="1"/>
  </cols>
  <sheetData>
    <row r="1" spans="1:12" ht="15.75">
      <c r="A1" s="4" t="s">
        <v>659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ht="15.75">
      <c r="A2" s="10" t="s">
        <v>636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</row>
    <row r="5" spans="1:12">
      <c r="A5" s="11" t="s">
        <v>660</v>
      </c>
      <c r="D5" t="s">
        <v>661</v>
      </c>
    </row>
    <row r="6" spans="1:12">
      <c r="D6" t="s">
        <v>662</v>
      </c>
    </row>
    <row r="8" spans="1:12">
      <c r="A8" s="8" t="s">
        <v>663</v>
      </c>
      <c r="D8" t="s">
        <v>664</v>
      </c>
    </row>
    <row r="9" spans="1:12">
      <c r="A9" s="8"/>
      <c r="D9" t="s">
        <v>665</v>
      </c>
    </row>
    <row r="10" spans="1:12">
      <c r="D10" t="s">
        <v>666</v>
      </c>
    </row>
    <row r="12" spans="1:12">
      <c r="A12" s="11" t="s">
        <v>667</v>
      </c>
      <c r="D12" t="s">
        <v>668</v>
      </c>
    </row>
    <row r="15" spans="1:12">
      <c r="A15" s="8" t="s">
        <v>669</v>
      </c>
      <c r="D15" s="12">
        <f>4*45</f>
        <v>180</v>
      </c>
      <c r="E15" t="s">
        <v>670</v>
      </c>
    </row>
    <row r="17" spans="1:4">
      <c r="A17" s="8" t="s">
        <v>671</v>
      </c>
      <c r="D17" t="s">
        <v>672</v>
      </c>
    </row>
    <row r="18" spans="1:4">
      <c r="A18" s="8"/>
      <c r="D18" t="s">
        <v>673</v>
      </c>
    </row>
    <row r="19" spans="1:4">
      <c r="D19" t="s">
        <v>674</v>
      </c>
    </row>
    <row r="20" spans="1:4">
      <c r="D20" t="s">
        <v>675</v>
      </c>
    </row>
    <row r="21" spans="1:4" ht="15" customHeight="1">
      <c r="D21" t="s">
        <v>676</v>
      </c>
    </row>
    <row r="22" spans="1:4" ht="15" customHeight="1">
      <c r="D22" t="s">
        <v>677</v>
      </c>
    </row>
    <row r="23" spans="1:4" ht="15" customHeight="1">
      <c r="D23" t="s">
        <v>678</v>
      </c>
    </row>
    <row r="24" spans="1:4">
      <c r="D24" t="s">
        <v>679</v>
      </c>
    </row>
    <row r="25" spans="1:4">
      <c r="D25" t="s">
        <v>680</v>
      </c>
    </row>
    <row r="26" spans="1:4">
      <c r="D26" t="s">
        <v>681</v>
      </c>
    </row>
    <row r="27" spans="1:4">
      <c r="D27" t="s">
        <v>682</v>
      </c>
    </row>
    <row r="28" spans="1:4">
      <c r="D28" t="s">
        <v>683</v>
      </c>
    </row>
    <row r="29" spans="1:4">
      <c r="D29" t="s">
        <v>684</v>
      </c>
    </row>
    <row r="30" spans="1:4">
      <c r="D30" t="s">
        <v>685</v>
      </c>
    </row>
    <row r="33" spans="1:7">
      <c r="A33" s="11" t="s">
        <v>686</v>
      </c>
      <c r="D33" t="s">
        <v>687</v>
      </c>
    </row>
    <row r="34" spans="1:7">
      <c r="D34" t="s">
        <v>688</v>
      </c>
    </row>
    <row r="35" spans="1:7">
      <c r="D35" t="s">
        <v>689</v>
      </c>
    </row>
    <row r="36" spans="1:7">
      <c r="D36" t="s">
        <v>690</v>
      </c>
    </row>
    <row r="37" spans="1:7">
      <c r="D37" t="s">
        <v>691</v>
      </c>
    </row>
    <row r="39" spans="1:7">
      <c r="A39" s="8" t="s">
        <v>692</v>
      </c>
      <c r="D39" s="13" t="s">
        <v>693</v>
      </c>
    </row>
    <row r="40" spans="1:7">
      <c r="D40" t="s">
        <v>694</v>
      </c>
    </row>
    <row r="42" spans="1:7">
      <c r="A42" s="8" t="s">
        <v>695</v>
      </c>
      <c r="D42" s="13" t="s">
        <v>696</v>
      </c>
    </row>
    <row r="43" spans="1:7">
      <c r="D43" t="s">
        <v>697</v>
      </c>
    </row>
    <row r="45" spans="1:7">
      <c r="A45" s="8" t="s">
        <v>698</v>
      </c>
      <c r="D45" t="s">
        <v>699</v>
      </c>
    </row>
    <row r="46" spans="1:7">
      <c r="D46" t="s">
        <v>322</v>
      </c>
    </row>
    <row r="48" spans="1:7">
      <c r="A48" s="8" t="s">
        <v>700</v>
      </c>
      <c r="D48" t="s">
        <v>701</v>
      </c>
      <c r="G48" s="14">
        <v>37012</v>
      </c>
    </row>
    <row r="49" spans="1:7">
      <c r="G49" s="15"/>
    </row>
    <row r="50" spans="1:7">
      <c r="A50" s="8" t="s">
        <v>702</v>
      </c>
      <c r="D50" t="s">
        <v>703</v>
      </c>
    </row>
    <row r="52" spans="1:7" ht="12" hidden="1" customHeight="1">
      <c r="A52" s="8" t="s">
        <v>704</v>
      </c>
      <c r="D52" t="s">
        <v>705</v>
      </c>
    </row>
    <row r="53" spans="1:7">
      <c r="A53" s="11" t="s">
        <v>706</v>
      </c>
      <c r="D53" t="s">
        <v>703</v>
      </c>
    </row>
  </sheetData>
  <printOptions horizontalCentered="1"/>
  <pageMargins left="0.75" right="0.75" top="1" bottom="1" header="0.5" footer="0.5"/>
  <pageSetup scale="79" orientation="portrait" horizontalDpi="4294967292" verticalDpi="4294967292" r:id="rId1"/>
  <headerFooter alignWithMargins="0">
    <oddFooter>&amp;LScot Chambers
&amp;D&amp;CPage _____&amp;R&amp;F
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R337"/>
  <sheetViews>
    <sheetView showGridLines="0" zoomScale="75" workbookViewId="0"/>
  </sheetViews>
  <sheetFormatPr defaultRowHeight="12.75"/>
  <cols>
    <col min="1" max="16384" width="9.140625" style="30"/>
  </cols>
  <sheetData>
    <row r="1" spans="1:44" s="17" customFormat="1" ht="15.75">
      <c r="A1" s="16" t="str">
        <f>Scope!A1</f>
        <v>City of Austin 4 x LM6000 Power Project</v>
      </c>
      <c r="B1" s="16"/>
      <c r="C1" s="16"/>
      <c r="D1" s="16"/>
      <c r="E1" s="16"/>
      <c r="F1" s="16"/>
      <c r="G1" s="16"/>
      <c r="H1" s="16"/>
      <c r="I1" s="16"/>
      <c r="J1" s="16"/>
      <c r="K1" s="16"/>
    </row>
    <row r="2" spans="1:44" s="17" customFormat="1" ht="15.75">
      <c r="A2" s="16" t="s">
        <v>707</v>
      </c>
      <c r="B2" s="16"/>
      <c r="C2" s="16"/>
      <c r="D2" s="16"/>
      <c r="E2" s="16"/>
      <c r="F2" s="16"/>
      <c r="G2" s="16"/>
      <c r="H2" s="16"/>
      <c r="I2" s="16"/>
      <c r="J2" s="16"/>
      <c r="K2" s="16"/>
    </row>
    <row r="3" spans="1:44" s="17" customFormat="1" ht="15.75">
      <c r="A3" s="16"/>
      <c r="B3" s="16"/>
      <c r="C3" s="16"/>
      <c r="D3" s="16"/>
      <c r="E3" s="16"/>
      <c r="F3" s="16"/>
      <c r="G3" s="16"/>
      <c r="H3" s="16"/>
      <c r="I3" s="18"/>
      <c r="J3" s="18"/>
      <c r="K3" s="18"/>
    </row>
    <row r="4" spans="1:44" s="24" customFormat="1">
      <c r="A4" s="19" t="s">
        <v>708</v>
      </c>
      <c r="B4" s="20"/>
      <c r="C4" s="21"/>
      <c r="D4" s="22"/>
      <c r="E4" s="22"/>
      <c r="F4" s="22"/>
      <c r="G4" s="22"/>
      <c r="H4" s="22"/>
      <c r="I4" s="22"/>
      <c r="J4" s="22"/>
      <c r="K4" s="22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</row>
    <row r="5" spans="1:44" s="24" customFormat="1">
      <c r="A5" s="458" t="s">
        <v>709</v>
      </c>
      <c r="B5" s="457"/>
      <c r="C5" s="457"/>
      <c r="D5" s="457"/>
      <c r="E5" s="457"/>
      <c r="F5" s="457"/>
      <c r="G5" s="457"/>
      <c r="H5" s="457"/>
      <c r="I5" s="457"/>
      <c r="J5" s="457"/>
      <c r="K5" s="22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3"/>
      <c r="AN5" s="23"/>
      <c r="AO5" s="23"/>
      <c r="AP5" s="23"/>
      <c r="AQ5" s="23"/>
      <c r="AR5" s="23"/>
    </row>
    <row r="6" spans="1:44" s="24" customFormat="1">
      <c r="A6" s="457"/>
      <c r="B6" s="457"/>
      <c r="C6" s="457"/>
      <c r="D6" s="457"/>
      <c r="E6" s="457"/>
      <c r="F6" s="457"/>
      <c r="G6" s="457"/>
      <c r="H6" s="457"/>
      <c r="I6" s="457"/>
      <c r="J6" s="457"/>
      <c r="K6" s="22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</row>
    <row r="7" spans="1:44" s="24" customFormat="1">
      <c r="A7" s="25" t="s">
        <v>710</v>
      </c>
      <c r="B7" s="26"/>
      <c r="C7" s="21"/>
      <c r="D7" s="22"/>
      <c r="E7" s="22"/>
      <c r="F7" s="22"/>
      <c r="G7" s="22"/>
      <c r="H7" s="22"/>
      <c r="I7" s="22"/>
      <c r="J7" s="22"/>
      <c r="K7" s="22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</row>
    <row r="8" spans="1:44" s="24" customFormat="1">
      <c r="A8" s="25" t="s">
        <v>711</v>
      </c>
      <c r="B8" s="26"/>
      <c r="C8" s="21"/>
      <c r="D8" s="22"/>
      <c r="E8" s="22"/>
      <c r="F8" s="22"/>
      <c r="G8" s="22"/>
      <c r="H8" s="22"/>
      <c r="I8" s="22"/>
      <c r="J8" s="22"/>
      <c r="K8" s="22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</row>
    <row r="9" spans="1:44" s="24" customFormat="1">
      <c r="A9" s="25" t="s">
        <v>712</v>
      </c>
      <c r="B9" s="26"/>
      <c r="C9" s="21"/>
      <c r="D9" s="22"/>
      <c r="E9" s="22"/>
      <c r="F9" s="22"/>
      <c r="G9" s="22"/>
      <c r="H9" s="22"/>
      <c r="I9" s="22"/>
      <c r="J9" s="22"/>
      <c r="K9" s="22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</row>
    <row r="10" spans="1:44" s="24" customFormat="1">
      <c r="A10" s="25" t="s">
        <v>713</v>
      </c>
      <c r="B10" s="26"/>
      <c r="C10" s="21"/>
      <c r="D10" s="22"/>
      <c r="E10" s="22"/>
      <c r="F10" s="22"/>
      <c r="G10" s="22"/>
      <c r="H10" s="22"/>
      <c r="I10" s="22"/>
      <c r="J10" s="22"/>
      <c r="K10" s="22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</row>
    <row r="11" spans="1:44" s="24" customFormat="1">
      <c r="A11" s="25" t="s">
        <v>714</v>
      </c>
      <c r="B11" s="26"/>
      <c r="C11" s="21"/>
      <c r="D11" s="22"/>
      <c r="E11" s="22"/>
      <c r="F11" s="22"/>
      <c r="G11" s="22"/>
      <c r="H11" s="22"/>
      <c r="I11" s="22"/>
      <c r="J11" s="22"/>
      <c r="K11" s="22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</row>
    <row r="12" spans="1:44" s="24" customFormat="1">
      <c r="A12" s="25" t="s">
        <v>715</v>
      </c>
      <c r="B12" s="26"/>
      <c r="C12" s="21"/>
      <c r="D12" s="22"/>
      <c r="E12" s="22"/>
      <c r="F12" s="22"/>
      <c r="G12" s="22"/>
      <c r="H12" s="22"/>
      <c r="I12" s="22"/>
      <c r="J12" s="22"/>
      <c r="K12" s="22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</row>
    <row r="13" spans="1:44" s="24" customFormat="1">
      <c r="A13" s="25" t="s">
        <v>716</v>
      </c>
      <c r="B13" s="13"/>
      <c r="C13" s="21"/>
      <c r="D13" s="22"/>
      <c r="E13" s="22"/>
      <c r="F13" s="22"/>
      <c r="G13" s="22"/>
      <c r="H13" s="22"/>
      <c r="I13" s="22"/>
      <c r="J13" s="22"/>
      <c r="K13" s="22"/>
      <c r="L13" s="27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</row>
    <row r="14" spans="1:44" s="24" customFormat="1">
      <c r="A14" s="25" t="s">
        <v>717</v>
      </c>
      <c r="B14" s="13"/>
      <c r="C14" s="21"/>
      <c r="D14" s="22"/>
      <c r="E14" s="22"/>
      <c r="F14" s="22"/>
      <c r="G14" s="22"/>
      <c r="H14" s="22"/>
      <c r="I14" s="22"/>
      <c r="J14" s="22"/>
      <c r="K14" s="22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</row>
    <row r="15" spans="1:44" s="24" customFormat="1">
      <c r="A15" s="25" t="s">
        <v>718</v>
      </c>
      <c r="B15" s="13"/>
      <c r="C15" s="21"/>
      <c r="D15" s="22"/>
      <c r="E15" s="22"/>
      <c r="F15" s="22"/>
      <c r="G15" s="22"/>
      <c r="H15" s="22"/>
      <c r="I15" s="22"/>
      <c r="J15" s="22"/>
      <c r="K15" s="22"/>
      <c r="L15" s="28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</row>
    <row r="16" spans="1:44" s="24" customFormat="1">
      <c r="A16" s="458" t="s">
        <v>719</v>
      </c>
      <c r="B16" s="457"/>
      <c r="C16" s="457"/>
      <c r="D16" s="457"/>
      <c r="E16" s="457"/>
      <c r="F16" s="457"/>
      <c r="G16" s="457"/>
      <c r="H16" s="457"/>
      <c r="I16" s="457"/>
      <c r="J16" s="457"/>
      <c r="K16" s="22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</row>
    <row r="17" spans="1:44" s="24" customFormat="1">
      <c r="A17" s="457"/>
      <c r="B17" s="457"/>
      <c r="C17" s="457"/>
      <c r="D17" s="457"/>
      <c r="E17" s="457"/>
      <c r="F17" s="457"/>
      <c r="G17" s="457"/>
      <c r="H17" s="457"/>
      <c r="I17" s="457"/>
      <c r="J17" s="457"/>
      <c r="K17" s="22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</row>
    <row r="18" spans="1:44" s="24" customFormat="1">
      <c r="A18" s="458" t="s">
        <v>720</v>
      </c>
      <c r="B18" s="457"/>
      <c r="C18" s="457"/>
      <c r="D18" s="457"/>
      <c r="E18" s="457"/>
      <c r="F18" s="457"/>
      <c r="G18" s="457"/>
      <c r="H18" s="457"/>
      <c r="I18" s="457"/>
      <c r="J18" s="457"/>
      <c r="K18" s="22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</row>
    <row r="19" spans="1:44" s="24" customFormat="1">
      <c r="A19" s="457"/>
      <c r="B19" s="457"/>
      <c r="C19" s="457"/>
      <c r="D19" s="457"/>
      <c r="E19" s="457"/>
      <c r="F19" s="457"/>
      <c r="G19" s="457"/>
      <c r="H19" s="457"/>
      <c r="I19" s="457"/>
      <c r="J19" s="457"/>
      <c r="K19" s="22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</row>
    <row r="20" spans="1:44" s="24" customFormat="1">
      <c r="A20" s="13" t="s">
        <v>330</v>
      </c>
      <c r="B20" s="26"/>
      <c r="C20" s="22"/>
      <c r="D20" s="22"/>
      <c r="E20" s="22"/>
      <c r="F20" s="22"/>
      <c r="G20" s="22"/>
      <c r="H20" s="22"/>
      <c r="I20" s="22"/>
      <c r="J20" s="22"/>
      <c r="K20" s="22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23"/>
      <c r="AP20" s="23"/>
      <c r="AQ20" s="23"/>
      <c r="AR20" s="23"/>
    </row>
    <row r="21" spans="1:44" s="24" customFormat="1">
      <c r="A21" s="29" t="s">
        <v>721</v>
      </c>
      <c r="B21" s="26"/>
      <c r="C21" s="22"/>
      <c r="D21" s="22"/>
      <c r="E21" s="22"/>
      <c r="F21" s="22"/>
      <c r="G21" s="22"/>
      <c r="H21" s="22"/>
      <c r="I21" s="22"/>
      <c r="J21" s="22"/>
      <c r="K21" s="22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</row>
    <row r="22" spans="1:44" s="24" customFormat="1">
      <c r="A22" s="13" t="s">
        <v>722</v>
      </c>
      <c r="B22" s="13"/>
      <c r="C22" s="21"/>
      <c r="D22" s="22"/>
      <c r="E22" s="22"/>
      <c r="F22" s="22"/>
      <c r="G22" s="22"/>
      <c r="H22" s="22"/>
      <c r="I22" s="22"/>
      <c r="J22" s="22"/>
      <c r="K22" s="22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23"/>
      <c r="AP22" s="23"/>
      <c r="AQ22" s="23"/>
      <c r="AR22" s="23"/>
    </row>
    <row r="23" spans="1:44" s="24" customFormat="1">
      <c r="A23" s="458" t="s">
        <v>723</v>
      </c>
      <c r="B23" s="457"/>
      <c r="C23" s="457"/>
      <c r="D23" s="457"/>
      <c r="E23" s="457"/>
      <c r="F23" s="457"/>
      <c r="G23" s="457"/>
      <c r="H23" s="457"/>
      <c r="I23" s="457"/>
      <c r="J23" s="457"/>
      <c r="K23" s="22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23"/>
      <c r="AP23" s="23"/>
      <c r="AQ23" s="23"/>
      <c r="AR23" s="23"/>
    </row>
    <row r="24" spans="1:44" s="24" customFormat="1">
      <c r="A24" s="457"/>
      <c r="B24" s="457"/>
      <c r="C24" s="457"/>
      <c r="D24" s="457"/>
      <c r="E24" s="457"/>
      <c r="F24" s="457"/>
      <c r="G24" s="457"/>
      <c r="H24" s="457"/>
      <c r="I24" s="457"/>
      <c r="J24" s="457"/>
      <c r="K24" s="22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23"/>
      <c r="AP24" s="23"/>
      <c r="AQ24" s="23"/>
      <c r="AR24" s="23"/>
    </row>
    <row r="25" spans="1:44" s="24" customFormat="1">
      <c r="A25" s="458" t="s">
        <v>724</v>
      </c>
      <c r="B25" s="457"/>
      <c r="C25" s="457"/>
      <c r="D25" s="457"/>
      <c r="E25" s="457"/>
      <c r="F25" s="457"/>
      <c r="G25" s="457"/>
      <c r="H25" s="457"/>
      <c r="I25" s="457"/>
      <c r="J25" s="457"/>
      <c r="K25" s="22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3"/>
    </row>
    <row r="26" spans="1:44" s="24" customFormat="1">
      <c r="A26" s="457"/>
      <c r="B26" s="457"/>
      <c r="C26" s="457"/>
      <c r="D26" s="457"/>
      <c r="E26" s="457"/>
      <c r="F26" s="457"/>
      <c r="G26" s="457"/>
      <c r="H26" s="457"/>
      <c r="I26" s="457"/>
      <c r="J26" s="457"/>
      <c r="K26" s="22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23"/>
      <c r="AP26" s="23"/>
      <c r="AQ26" s="23"/>
      <c r="AR26" s="23"/>
    </row>
    <row r="27" spans="1:44" s="24" customFormat="1">
      <c r="A27" s="25" t="s">
        <v>725</v>
      </c>
      <c r="B27" s="22"/>
      <c r="C27" s="21"/>
      <c r="D27" s="22"/>
      <c r="E27" s="22"/>
      <c r="F27" s="22"/>
      <c r="G27" s="22"/>
      <c r="H27" s="22"/>
      <c r="I27" s="22"/>
      <c r="J27" s="22"/>
      <c r="K27" s="22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</row>
    <row r="28" spans="1:44" s="24" customFormat="1">
      <c r="A28" s="22" t="s">
        <v>726</v>
      </c>
      <c r="B28" s="21"/>
      <c r="C28" s="21"/>
      <c r="D28" s="22"/>
      <c r="E28" s="22"/>
      <c r="F28" s="22"/>
      <c r="G28" s="22"/>
      <c r="H28" s="22"/>
      <c r="I28" s="22"/>
      <c r="J28" s="22"/>
      <c r="K28" s="22"/>
      <c r="L28" s="23"/>
      <c r="M28" s="27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23"/>
      <c r="AP28" s="23"/>
      <c r="AQ28" s="23"/>
      <c r="AR28" s="23"/>
    </row>
    <row r="29" spans="1:44">
      <c r="A29" s="30" t="s">
        <v>727</v>
      </c>
      <c r="B29" s="21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</row>
    <row r="30" spans="1:44">
      <c r="A30" s="458" t="s">
        <v>728</v>
      </c>
      <c r="B30" s="457"/>
      <c r="C30" s="457"/>
      <c r="D30" s="457"/>
      <c r="E30" s="457"/>
      <c r="F30" s="457"/>
      <c r="G30" s="457"/>
      <c r="H30" s="457"/>
      <c r="I30" s="457"/>
      <c r="J30" s="457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</row>
    <row r="31" spans="1:44">
      <c r="A31" s="457"/>
      <c r="B31" s="457"/>
      <c r="C31" s="457"/>
      <c r="D31" s="457"/>
      <c r="E31" s="457"/>
      <c r="F31" s="457"/>
      <c r="G31" s="457"/>
      <c r="H31" s="457"/>
      <c r="I31" s="457"/>
      <c r="J31" s="457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</row>
    <row r="32" spans="1:44">
      <c r="A32" s="25" t="s">
        <v>729</v>
      </c>
      <c r="B32" s="21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</row>
    <row r="33" spans="1:44">
      <c r="A33" s="25" t="s">
        <v>730</v>
      </c>
      <c r="B33" s="21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</row>
    <row r="34" spans="1:44">
      <c r="A34" s="25" t="s">
        <v>731</v>
      </c>
      <c r="B34" s="21" t="s">
        <v>732</v>
      </c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</row>
    <row r="35" spans="1:44">
      <c r="A35" s="25"/>
      <c r="B35" s="21" t="s">
        <v>733</v>
      </c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</row>
    <row r="36" spans="1:44">
      <c r="A36" s="25"/>
      <c r="B36" s="21" t="s">
        <v>734</v>
      </c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</row>
    <row r="37" spans="1:44">
      <c r="A37" s="25"/>
      <c r="B37" s="21" t="s">
        <v>735</v>
      </c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</row>
    <row r="38" spans="1:44">
      <c r="A38" s="25"/>
      <c r="B38" s="21" t="s">
        <v>736</v>
      </c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</row>
    <row r="39" spans="1:44">
      <c r="A39" s="25"/>
      <c r="B39" s="21" t="s">
        <v>737</v>
      </c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</row>
    <row r="40" spans="1:44">
      <c r="A40" s="25"/>
      <c r="B40" s="21" t="s">
        <v>738</v>
      </c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</row>
    <row r="41" spans="1:44">
      <c r="A41" s="25"/>
      <c r="B41" s="21" t="s">
        <v>739</v>
      </c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</row>
    <row r="42" spans="1:44">
      <c r="A42" s="25"/>
      <c r="B42" s="21" t="s">
        <v>740</v>
      </c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</row>
    <row r="43" spans="1:44">
      <c r="A43" s="25"/>
      <c r="B43" s="21" t="s">
        <v>741</v>
      </c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</row>
    <row r="44" spans="1:44">
      <c r="A44" s="25"/>
      <c r="B44" s="21" t="s">
        <v>742</v>
      </c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</row>
    <row r="45" spans="1:44">
      <c r="A45" s="19" t="s">
        <v>567</v>
      </c>
      <c r="B45" s="26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</row>
    <row r="46" spans="1:44">
      <c r="A46" s="25"/>
      <c r="B46" s="31" t="s">
        <v>743</v>
      </c>
      <c r="C46" s="21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</row>
    <row r="47" spans="1:44">
      <c r="A47" s="25"/>
      <c r="B47" s="31" t="s">
        <v>744</v>
      </c>
      <c r="C47" s="21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</row>
    <row r="48" spans="1:44">
      <c r="A48" s="25"/>
      <c r="B48" s="31" t="s">
        <v>745</v>
      </c>
      <c r="C48" s="21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</row>
    <row r="49" spans="1:44">
      <c r="A49" s="25"/>
      <c r="B49" s="31" t="s">
        <v>746</v>
      </c>
      <c r="C49" s="21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</row>
    <row r="50" spans="1:44">
      <c r="A50" s="25"/>
      <c r="B50" s="31" t="s">
        <v>747</v>
      </c>
      <c r="C50" s="21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</row>
    <row r="51" spans="1:44">
      <c r="A51" s="25"/>
      <c r="B51" s="31" t="s">
        <v>748</v>
      </c>
      <c r="C51" s="21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</row>
    <row r="52" spans="1:44">
      <c r="A52" s="13"/>
      <c r="B52" s="11" t="s">
        <v>749</v>
      </c>
      <c r="C52" s="21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</row>
    <row r="53" spans="1:44" s="13" customFormat="1">
      <c r="B53" s="11" t="s">
        <v>750</v>
      </c>
      <c r="C53" s="21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29"/>
      <c r="AB53" s="29"/>
      <c r="AC53" s="29"/>
      <c r="AD53" s="29"/>
      <c r="AE53" s="29"/>
      <c r="AF53" s="29"/>
      <c r="AG53" s="29"/>
      <c r="AH53" s="29"/>
      <c r="AI53" s="29"/>
      <c r="AJ53" s="29"/>
      <c r="AK53" s="29"/>
      <c r="AL53" s="29"/>
      <c r="AM53" s="29"/>
      <c r="AN53" s="29"/>
      <c r="AO53" s="29"/>
      <c r="AP53" s="29"/>
      <c r="AQ53" s="29"/>
      <c r="AR53" s="29"/>
    </row>
    <row r="54" spans="1:44">
      <c r="A54" s="13"/>
      <c r="B54" s="11" t="s">
        <v>751</v>
      </c>
      <c r="C54" s="21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</row>
    <row r="55" spans="1:44">
      <c r="A55" s="22"/>
      <c r="B55" s="32" t="s">
        <v>752</v>
      </c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</row>
    <row r="56" spans="1:44">
      <c r="A56" s="22"/>
      <c r="B56" s="32" t="s">
        <v>753</v>
      </c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</row>
    <row r="57" spans="1:44">
      <c r="A57" s="22"/>
      <c r="B57" s="32" t="s">
        <v>321</v>
      </c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</row>
    <row r="58" spans="1:44">
      <c r="A58" s="3" t="s">
        <v>332</v>
      </c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</row>
    <row r="59" spans="1:44">
      <c r="A59" s="22" t="s">
        <v>754</v>
      </c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</row>
    <row r="60" spans="1:44">
      <c r="A60" s="22" t="s">
        <v>755</v>
      </c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</row>
    <row r="61" spans="1:44">
      <c r="A61" s="456" t="s">
        <v>331</v>
      </c>
      <c r="B61" s="457"/>
      <c r="C61" s="457"/>
      <c r="D61" s="457"/>
      <c r="E61" s="457"/>
      <c r="F61" s="457"/>
      <c r="G61" s="457"/>
      <c r="H61" s="457"/>
      <c r="I61" s="457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</row>
    <row r="62" spans="1:44">
      <c r="A62" s="457"/>
      <c r="B62" s="457"/>
      <c r="C62" s="457"/>
      <c r="D62" s="457"/>
      <c r="E62" s="457"/>
      <c r="F62" s="457"/>
      <c r="G62" s="457"/>
      <c r="H62" s="457"/>
      <c r="I62" s="457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</row>
    <row r="63" spans="1:44">
      <c r="A63" s="22" t="s">
        <v>756</v>
      </c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</row>
    <row r="64" spans="1:44">
      <c r="A64" s="22" t="s">
        <v>333</v>
      </c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</row>
    <row r="65" spans="1:44">
      <c r="A65" s="22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</row>
    <row r="66" spans="1:44">
      <c r="A66" s="22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</row>
    <row r="67" spans="1:44">
      <c r="A67" s="22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</row>
    <row r="68" spans="1:44">
      <c r="A68" s="22"/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</row>
    <row r="69" spans="1:44">
      <c r="A69" s="33"/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</row>
    <row r="70" spans="1:44">
      <c r="A70" s="22"/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</row>
    <row r="71" spans="1:44">
      <c r="A71" s="22"/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</row>
    <row r="72" spans="1:44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</row>
    <row r="73" spans="1:44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</row>
    <row r="74" spans="1:44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</row>
    <row r="75" spans="1:44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</row>
    <row r="76" spans="1:44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</row>
    <row r="77" spans="1:44">
      <c r="A77" s="22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</row>
    <row r="78" spans="1:44">
      <c r="A78" s="22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</row>
    <row r="79" spans="1:44">
      <c r="A79" s="22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</row>
    <row r="80" spans="1:44">
      <c r="A80" s="22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</row>
    <row r="81" spans="1:44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</row>
    <row r="82" spans="1:44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</row>
    <row r="83" spans="1:44">
      <c r="A83" s="22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</row>
    <row r="84" spans="1:44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</row>
    <row r="85" spans="1:44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</row>
    <row r="86" spans="1:44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</row>
    <row r="87" spans="1:44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</row>
    <row r="88" spans="1:44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</row>
    <row r="89" spans="1:44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</row>
    <row r="90" spans="1:44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</row>
    <row r="91" spans="1:44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</row>
    <row r="92" spans="1:44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</row>
    <row r="93" spans="1:44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</row>
    <row r="94" spans="1:44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</row>
    <row r="95" spans="1:44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</row>
    <row r="96" spans="1:44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</row>
    <row r="97" spans="1:44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</row>
    <row r="98" spans="1:44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</row>
    <row r="99" spans="1:44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</row>
    <row r="100" spans="1:44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</row>
    <row r="101" spans="1:44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</row>
    <row r="102" spans="1:44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</row>
    <row r="103" spans="1:44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</row>
    <row r="104" spans="1:44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</row>
    <row r="105" spans="1:44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</row>
    <row r="106" spans="1:44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</row>
    <row r="107" spans="1:44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</row>
    <row r="108" spans="1:44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</row>
    <row r="109" spans="1:44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</row>
    <row r="110" spans="1:44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</row>
    <row r="111" spans="1:44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</row>
    <row r="112" spans="1:44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</row>
    <row r="113" spans="1:44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</row>
    <row r="114" spans="1:44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</row>
    <row r="115" spans="1:44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</row>
    <row r="116" spans="1:44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</row>
    <row r="117" spans="1:44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</row>
    <row r="118" spans="1:44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</row>
    <row r="119" spans="1:44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</row>
    <row r="120" spans="1:44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</row>
    <row r="121" spans="1:44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</row>
    <row r="122" spans="1:44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</row>
    <row r="123" spans="1:44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</row>
    <row r="124" spans="1:44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</row>
    <row r="125" spans="1:44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</row>
    <row r="126" spans="1:44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</row>
    <row r="127" spans="1:44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</row>
    <row r="128" spans="1:44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</row>
    <row r="129" spans="1:44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</row>
    <row r="130" spans="1:44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</row>
    <row r="131" spans="1:44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</row>
    <row r="132" spans="1:44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</row>
    <row r="133" spans="1:44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</row>
    <row r="134" spans="1:44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</row>
    <row r="135" spans="1:44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</row>
    <row r="136" spans="1:44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</row>
    <row r="137" spans="1:44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</row>
    <row r="138" spans="1:44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</row>
    <row r="139" spans="1:44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</row>
    <row r="140" spans="1:44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</row>
    <row r="141" spans="1:44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</row>
    <row r="142" spans="1:44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</row>
    <row r="143" spans="1:44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</row>
    <row r="144" spans="1:44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</row>
    <row r="145" spans="1:44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</row>
    <row r="146" spans="1:44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</row>
    <row r="147" spans="1:44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</row>
    <row r="148" spans="1:44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</row>
    <row r="149" spans="1:44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</row>
    <row r="150" spans="1:44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</row>
    <row r="151" spans="1:44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</row>
    <row r="152" spans="1:44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</row>
    <row r="153" spans="1:44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</row>
    <row r="154" spans="1:44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</row>
    <row r="155" spans="1:44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</row>
    <row r="156" spans="1:44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</row>
    <row r="157" spans="1:44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</row>
    <row r="158" spans="1:44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</row>
    <row r="159" spans="1:44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</row>
    <row r="160" spans="1:44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  <c r="AF160" s="22"/>
      <c r="AG160" s="22"/>
      <c r="AH160" s="22"/>
      <c r="AI160" s="22"/>
      <c r="AJ160" s="22"/>
      <c r="AK160" s="22"/>
      <c r="AL160" s="22"/>
      <c r="AM160" s="22"/>
      <c r="AN160" s="22"/>
      <c r="AO160" s="22"/>
      <c r="AP160" s="22"/>
      <c r="AQ160" s="22"/>
      <c r="AR160" s="22"/>
    </row>
    <row r="161" spans="1:44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  <c r="AF161" s="22"/>
      <c r="AG161" s="22"/>
      <c r="AH161" s="22"/>
      <c r="AI161" s="22"/>
      <c r="AJ161" s="22"/>
      <c r="AK161" s="22"/>
      <c r="AL161" s="22"/>
      <c r="AM161" s="22"/>
      <c r="AN161" s="22"/>
      <c r="AO161" s="22"/>
      <c r="AP161" s="22"/>
      <c r="AQ161" s="22"/>
      <c r="AR161" s="22"/>
    </row>
    <row r="162" spans="1:44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  <c r="AA162" s="22"/>
      <c r="AB162" s="22"/>
      <c r="AC162" s="22"/>
      <c r="AD162" s="22"/>
      <c r="AE162" s="22"/>
      <c r="AF162" s="22"/>
      <c r="AG162" s="22"/>
      <c r="AH162" s="22"/>
      <c r="AI162" s="22"/>
      <c r="AJ162" s="22"/>
      <c r="AK162" s="22"/>
      <c r="AL162" s="22"/>
      <c r="AM162" s="22"/>
      <c r="AN162" s="22"/>
      <c r="AO162" s="22"/>
      <c r="AP162" s="22"/>
      <c r="AQ162" s="22"/>
      <c r="AR162" s="22"/>
    </row>
    <row r="163" spans="1:44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  <c r="AA163" s="22"/>
      <c r="AB163" s="22"/>
      <c r="AC163" s="22"/>
      <c r="AD163" s="22"/>
      <c r="AE163" s="22"/>
      <c r="AF163" s="22"/>
      <c r="AG163" s="22"/>
      <c r="AH163" s="22"/>
      <c r="AI163" s="22"/>
      <c r="AJ163" s="22"/>
      <c r="AK163" s="22"/>
      <c r="AL163" s="22"/>
      <c r="AM163" s="22"/>
      <c r="AN163" s="22"/>
      <c r="AO163" s="22"/>
      <c r="AP163" s="22"/>
      <c r="AQ163" s="22"/>
      <c r="AR163" s="22"/>
    </row>
    <row r="164" spans="1:44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  <c r="AA164" s="22"/>
      <c r="AB164" s="22"/>
      <c r="AC164" s="22"/>
      <c r="AD164" s="22"/>
      <c r="AE164" s="22"/>
      <c r="AF164" s="22"/>
      <c r="AG164" s="22"/>
      <c r="AH164" s="22"/>
      <c r="AI164" s="22"/>
      <c r="AJ164" s="22"/>
      <c r="AK164" s="22"/>
      <c r="AL164" s="22"/>
      <c r="AM164" s="22"/>
      <c r="AN164" s="22"/>
      <c r="AO164" s="22"/>
      <c r="AP164" s="22"/>
      <c r="AQ164" s="22"/>
      <c r="AR164" s="22"/>
    </row>
    <row r="165" spans="1:44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  <c r="AA165" s="22"/>
      <c r="AB165" s="22"/>
      <c r="AC165" s="22"/>
      <c r="AD165" s="22"/>
      <c r="AE165" s="22"/>
      <c r="AF165" s="22"/>
      <c r="AG165" s="22"/>
      <c r="AH165" s="22"/>
      <c r="AI165" s="22"/>
      <c r="AJ165" s="22"/>
      <c r="AK165" s="22"/>
      <c r="AL165" s="22"/>
      <c r="AM165" s="22"/>
      <c r="AN165" s="22"/>
      <c r="AO165" s="22"/>
      <c r="AP165" s="22"/>
      <c r="AQ165" s="22"/>
      <c r="AR165" s="22"/>
    </row>
    <row r="166" spans="1:44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  <c r="AA166" s="22"/>
      <c r="AB166" s="22"/>
      <c r="AC166" s="22"/>
      <c r="AD166" s="22"/>
      <c r="AE166" s="22"/>
      <c r="AF166" s="22"/>
      <c r="AG166" s="22"/>
      <c r="AH166" s="22"/>
      <c r="AI166" s="22"/>
      <c r="AJ166" s="22"/>
      <c r="AK166" s="22"/>
      <c r="AL166" s="22"/>
      <c r="AM166" s="22"/>
      <c r="AN166" s="22"/>
      <c r="AO166" s="22"/>
      <c r="AP166" s="22"/>
      <c r="AQ166" s="22"/>
      <c r="AR166" s="22"/>
    </row>
    <row r="167" spans="1:44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  <c r="AA167" s="22"/>
      <c r="AB167" s="22"/>
      <c r="AC167" s="22"/>
      <c r="AD167" s="22"/>
      <c r="AE167" s="22"/>
      <c r="AF167" s="22"/>
      <c r="AG167" s="22"/>
      <c r="AH167" s="22"/>
      <c r="AI167" s="22"/>
      <c r="AJ167" s="22"/>
      <c r="AK167" s="22"/>
      <c r="AL167" s="22"/>
      <c r="AM167" s="22"/>
      <c r="AN167" s="22"/>
      <c r="AO167" s="22"/>
      <c r="AP167" s="22"/>
      <c r="AQ167" s="22"/>
      <c r="AR167" s="22"/>
    </row>
    <row r="168" spans="1:44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  <c r="AA168" s="22"/>
      <c r="AB168" s="22"/>
      <c r="AC168" s="22"/>
      <c r="AD168" s="22"/>
      <c r="AE168" s="22"/>
      <c r="AF168" s="22"/>
      <c r="AG168" s="22"/>
      <c r="AH168" s="22"/>
      <c r="AI168" s="22"/>
      <c r="AJ168" s="22"/>
      <c r="AK168" s="22"/>
      <c r="AL168" s="22"/>
      <c r="AM168" s="22"/>
      <c r="AN168" s="22"/>
      <c r="AO168" s="22"/>
      <c r="AP168" s="22"/>
      <c r="AQ168" s="22"/>
      <c r="AR168" s="22"/>
    </row>
    <row r="169" spans="1:44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  <c r="AA169" s="22"/>
      <c r="AB169" s="22"/>
      <c r="AC169" s="22"/>
      <c r="AD169" s="22"/>
      <c r="AE169" s="22"/>
      <c r="AF169" s="22"/>
      <c r="AG169" s="22"/>
      <c r="AH169" s="22"/>
      <c r="AI169" s="22"/>
      <c r="AJ169" s="22"/>
      <c r="AK169" s="22"/>
      <c r="AL169" s="22"/>
      <c r="AM169" s="22"/>
      <c r="AN169" s="22"/>
      <c r="AO169" s="22"/>
      <c r="AP169" s="22"/>
      <c r="AQ169" s="22"/>
      <c r="AR169" s="22"/>
    </row>
    <row r="170" spans="1:44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  <c r="AA170" s="22"/>
      <c r="AB170" s="22"/>
      <c r="AC170" s="22"/>
      <c r="AD170" s="22"/>
      <c r="AE170" s="22"/>
      <c r="AF170" s="22"/>
      <c r="AG170" s="22"/>
      <c r="AH170" s="22"/>
      <c r="AI170" s="22"/>
      <c r="AJ170" s="22"/>
      <c r="AK170" s="22"/>
      <c r="AL170" s="22"/>
      <c r="AM170" s="22"/>
      <c r="AN170" s="22"/>
      <c r="AO170" s="22"/>
      <c r="AP170" s="22"/>
      <c r="AQ170" s="22"/>
      <c r="AR170" s="22"/>
    </row>
    <row r="171" spans="1:44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  <c r="AA171" s="22"/>
      <c r="AB171" s="22"/>
      <c r="AC171" s="22"/>
      <c r="AD171" s="22"/>
      <c r="AE171" s="22"/>
      <c r="AF171" s="22"/>
      <c r="AG171" s="22"/>
      <c r="AH171" s="22"/>
      <c r="AI171" s="22"/>
      <c r="AJ171" s="22"/>
      <c r="AK171" s="22"/>
      <c r="AL171" s="22"/>
      <c r="AM171" s="22"/>
      <c r="AN171" s="22"/>
      <c r="AO171" s="22"/>
      <c r="AP171" s="22"/>
      <c r="AQ171" s="22"/>
      <c r="AR171" s="22"/>
    </row>
    <row r="172" spans="1:44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  <c r="AA172" s="22"/>
      <c r="AB172" s="22"/>
      <c r="AC172" s="22"/>
      <c r="AD172" s="22"/>
      <c r="AE172" s="22"/>
      <c r="AF172" s="22"/>
      <c r="AG172" s="22"/>
      <c r="AH172" s="22"/>
      <c r="AI172" s="22"/>
      <c r="AJ172" s="22"/>
      <c r="AK172" s="22"/>
      <c r="AL172" s="22"/>
      <c r="AM172" s="22"/>
      <c r="AN172" s="22"/>
      <c r="AO172" s="22"/>
      <c r="AP172" s="22"/>
      <c r="AQ172" s="22"/>
      <c r="AR172" s="22"/>
    </row>
    <row r="173" spans="1:44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  <c r="AA173" s="22"/>
      <c r="AB173" s="22"/>
      <c r="AC173" s="22"/>
      <c r="AD173" s="22"/>
      <c r="AE173" s="22"/>
      <c r="AF173" s="22"/>
      <c r="AG173" s="22"/>
      <c r="AH173" s="22"/>
      <c r="AI173" s="22"/>
      <c r="AJ173" s="22"/>
      <c r="AK173" s="22"/>
      <c r="AL173" s="22"/>
      <c r="AM173" s="22"/>
      <c r="AN173" s="22"/>
      <c r="AO173" s="22"/>
      <c r="AP173" s="22"/>
      <c r="AQ173" s="22"/>
      <c r="AR173" s="22"/>
    </row>
    <row r="174" spans="1:44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  <c r="AA174" s="22"/>
      <c r="AB174" s="22"/>
      <c r="AC174" s="22"/>
      <c r="AD174" s="22"/>
      <c r="AE174" s="22"/>
      <c r="AF174" s="22"/>
      <c r="AG174" s="22"/>
      <c r="AH174" s="22"/>
      <c r="AI174" s="22"/>
      <c r="AJ174" s="22"/>
      <c r="AK174" s="22"/>
      <c r="AL174" s="22"/>
      <c r="AM174" s="22"/>
      <c r="AN174" s="22"/>
      <c r="AO174" s="22"/>
      <c r="AP174" s="22"/>
      <c r="AQ174" s="22"/>
      <c r="AR174" s="22"/>
    </row>
    <row r="175" spans="1:44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  <c r="AA175" s="22"/>
      <c r="AB175" s="22"/>
      <c r="AC175" s="22"/>
      <c r="AD175" s="22"/>
      <c r="AE175" s="22"/>
      <c r="AF175" s="22"/>
      <c r="AG175" s="22"/>
      <c r="AH175" s="22"/>
      <c r="AI175" s="22"/>
      <c r="AJ175" s="22"/>
      <c r="AK175" s="22"/>
      <c r="AL175" s="22"/>
      <c r="AM175" s="22"/>
      <c r="AN175" s="22"/>
      <c r="AO175" s="22"/>
      <c r="AP175" s="22"/>
      <c r="AQ175" s="22"/>
      <c r="AR175" s="22"/>
    </row>
    <row r="176" spans="1:44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  <c r="AA176" s="22"/>
      <c r="AB176" s="22"/>
      <c r="AC176" s="22"/>
      <c r="AD176" s="22"/>
      <c r="AE176" s="22"/>
      <c r="AF176" s="22"/>
      <c r="AG176" s="22"/>
      <c r="AH176" s="22"/>
      <c r="AI176" s="22"/>
      <c r="AJ176" s="22"/>
      <c r="AK176" s="22"/>
      <c r="AL176" s="22"/>
      <c r="AM176" s="22"/>
      <c r="AN176" s="22"/>
      <c r="AO176" s="22"/>
      <c r="AP176" s="22"/>
      <c r="AQ176" s="22"/>
      <c r="AR176" s="22"/>
    </row>
    <row r="177" spans="1:44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  <c r="AA177" s="22"/>
      <c r="AB177" s="22"/>
      <c r="AC177" s="22"/>
      <c r="AD177" s="22"/>
      <c r="AE177" s="22"/>
      <c r="AF177" s="22"/>
      <c r="AG177" s="22"/>
      <c r="AH177" s="22"/>
      <c r="AI177" s="22"/>
      <c r="AJ177" s="22"/>
      <c r="AK177" s="22"/>
      <c r="AL177" s="22"/>
      <c r="AM177" s="22"/>
      <c r="AN177" s="22"/>
      <c r="AO177" s="22"/>
      <c r="AP177" s="22"/>
      <c r="AQ177" s="22"/>
      <c r="AR177" s="22"/>
    </row>
    <row r="178" spans="1:44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  <c r="AA178" s="22"/>
      <c r="AB178" s="22"/>
      <c r="AC178" s="22"/>
      <c r="AD178" s="22"/>
      <c r="AE178" s="22"/>
      <c r="AF178" s="22"/>
      <c r="AG178" s="22"/>
      <c r="AH178" s="22"/>
      <c r="AI178" s="22"/>
      <c r="AJ178" s="22"/>
      <c r="AK178" s="22"/>
      <c r="AL178" s="22"/>
      <c r="AM178" s="22"/>
      <c r="AN178" s="22"/>
      <c r="AO178" s="22"/>
      <c r="AP178" s="22"/>
      <c r="AQ178" s="22"/>
      <c r="AR178" s="22"/>
    </row>
    <row r="179" spans="1:44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  <c r="AA179" s="22"/>
      <c r="AB179" s="22"/>
      <c r="AC179" s="22"/>
      <c r="AD179" s="22"/>
      <c r="AE179" s="22"/>
      <c r="AF179" s="22"/>
      <c r="AG179" s="22"/>
      <c r="AH179" s="22"/>
      <c r="AI179" s="22"/>
      <c r="AJ179" s="22"/>
      <c r="AK179" s="22"/>
      <c r="AL179" s="22"/>
      <c r="AM179" s="22"/>
      <c r="AN179" s="22"/>
      <c r="AO179" s="22"/>
      <c r="AP179" s="22"/>
      <c r="AQ179" s="22"/>
      <c r="AR179" s="22"/>
    </row>
    <row r="180" spans="1:44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  <c r="AA180" s="22"/>
      <c r="AB180" s="22"/>
      <c r="AC180" s="22"/>
      <c r="AD180" s="22"/>
      <c r="AE180" s="22"/>
      <c r="AF180" s="22"/>
      <c r="AG180" s="22"/>
      <c r="AH180" s="22"/>
      <c r="AI180" s="22"/>
      <c r="AJ180" s="22"/>
      <c r="AK180" s="22"/>
      <c r="AL180" s="22"/>
      <c r="AM180" s="22"/>
      <c r="AN180" s="22"/>
      <c r="AO180" s="22"/>
      <c r="AP180" s="22"/>
      <c r="AQ180" s="22"/>
      <c r="AR180" s="22"/>
    </row>
    <row r="181" spans="1:44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  <c r="AA181" s="22"/>
      <c r="AB181" s="22"/>
      <c r="AC181" s="22"/>
      <c r="AD181" s="22"/>
      <c r="AE181" s="22"/>
      <c r="AF181" s="22"/>
      <c r="AG181" s="22"/>
      <c r="AH181" s="22"/>
      <c r="AI181" s="22"/>
      <c r="AJ181" s="22"/>
      <c r="AK181" s="22"/>
      <c r="AL181" s="22"/>
      <c r="AM181" s="22"/>
      <c r="AN181" s="22"/>
      <c r="AO181" s="22"/>
      <c r="AP181" s="22"/>
      <c r="AQ181" s="22"/>
      <c r="AR181" s="22"/>
    </row>
    <row r="182" spans="1:44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  <c r="AA182" s="22"/>
      <c r="AB182" s="22"/>
      <c r="AC182" s="22"/>
      <c r="AD182" s="22"/>
      <c r="AE182" s="22"/>
      <c r="AF182" s="22"/>
      <c r="AG182" s="22"/>
      <c r="AH182" s="22"/>
      <c r="AI182" s="22"/>
      <c r="AJ182" s="22"/>
      <c r="AK182" s="22"/>
      <c r="AL182" s="22"/>
      <c r="AM182" s="22"/>
      <c r="AN182" s="22"/>
      <c r="AO182" s="22"/>
      <c r="AP182" s="22"/>
      <c r="AQ182" s="22"/>
      <c r="AR182" s="22"/>
    </row>
    <row r="183" spans="1:44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  <c r="AA183" s="22"/>
      <c r="AB183" s="22"/>
      <c r="AC183" s="22"/>
      <c r="AD183" s="22"/>
      <c r="AE183" s="22"/>
      <c r="AF183" s="22"/>
      <c r="AG183" s="22"/>
      <c r="AH183" s="22"/>
      <c r="AI183" s="22"/>
      <c r="AJ183" s="22"/>
      <c r="AK183" s="22"/>
      <c r="AL183" s="22"/>
      <c r="AM183" s="22"/>
      <c r="AN183" s="22"/>
      <c r="AO183" s="22"/>
      <c r="AP183" s="22"/>
      <c r="AQ183" s="22"/>
      <c r="AR183" s="22"/>
    </row>
    <row r="184" spans="1:44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  <c r="AA184" s="22"/>
      <c r="AB184" s="22"/>
      <c r="AC184" s="22"/>
      <c r="AD184" s="22"/>
      <c r="AE184" s="22"/>
      <c r="AF184" s="22"/>
      <c r="AG184" s="22"/>
      <c r="AH184" s="22"/>
      <c r="AI184" s="22"/>
      <c r="AJ184" s="22"/>
      <c r="AK184" s="22"/>
      <c r="AL184" s="22"/>
      <c r="AM184" s="22"/>
      <c r="AN184" s="22"/>
      <c r="AO184" s="22"/>
      <c r="AP184" s="22"/>
      <c r="AQ184" s="22"/>
      <c r="AR184" s="22"/>
    </row>
    <row r="185" spans="1:44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  <c r="AA185" s="22"/>
      <c r="AB185" s="22"/>
      <c r="AC185" s="22"/>
      <c r="AD185" s="22"/>
      <c r="AE185" s="22"/>
      <c r="AF185" s="22"/>
      <c r="AG185" s="22"/>
      <c r="AH185" s="22"/>
      <c r="AI185" s="22"/>
      <c r="AJ185" s="22"/>
      <c r="AK185" s="22"/>
      <c r="AL185" s="22"/>
      <c r="AM185" s="22"/>
      <c r="AN185" s="22"/>
      <c r="AO185" s="22"/>
      <c r="AP185" s="22"/>
      <c r="AQ185" s="22"/>
      <c r="AR185" s="22"/>
    </row>
    <row r="186" spans="1:44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  <c r="AA186" s="22"/>
      <c r="AB186" s="22"/>
      <c r="AC186" s="22"/>
      <c r="AD186" s="22"/>
      <c r="AE186" s="22"/>
      <c r="AF186" s="22"/>
      <c r="AG186" s="22"/>
      <c r="AH186" s="22"/>
      <c r="AI186" s="22"/>
      <c r="AJ186" s="22"/>
      <c r="AK186" s="22"/>
      <c r="AL186" s="22"/>
      <c r="AM186" s="22"/>
      <c r="AN186" s="22"/>
      <c r="AO186" s="22"/>
      <c r="AP186" s="22"/>
      <c r="AQ186" s="22"/>
      <c r="AR186" s="22"/>
    </row>
    <row r="187" spans="1:44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  <c r="AA187" s="22"/>
      <c r="AB187" s="22"/>
      <c r="AC187" s="22"/>
      <c r="AD187" s="22"/>
      <c r="AE187" s="22"/>
      <c r="AF187" s="22"/>
      <c r="AG187" s="22"/>
      <c r="AH187" s="22"/>
      <c r="AI187" s="22"/>
      <c r="AJ187" s="22"/>
      <c r="AK187" s="22"/>
      <c r="AL187" s="22"/>
      <c r="AM187" s="22"/>
      <c r="AN187" s="22"/>
      <c r="AO187" s="22"/>
      <c r="AP187" s="22"/>
      <c r="AQ187" s="22"/>
      <c r="AR187" s="22"/>
    </row>
    <row r="188" spans="1:44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  <c r="AA188" s="22"/>
      <c r="AB188" s="22"/>
      <c r="AC188" s="22"/>
      <c r="AD188" s="22"/>
      <c r="AE188" s="22"/>
      <c r="AF188" s="22"/>
      <c r="AG188" s="22"/>
      <c r="AH188" s="22"/>
      <c r="AI188" s="22"/>
      <c r="AJ188" s="22"/>
      <c r="AK188" s="22"/>
      <c r="AL188" s="22"/>
      <c r="AM188" s="22"/>
      <c r="AN188" s="22"/>
      <c r="AO188" s="22"/>
      <c r="AP188" s="22"/>
      <c r="AQ188" s="22"/>
      <c r="AR188" s="22"/>
    </row>
    <row r="189" spans="1:44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  <c r="AA189" s="22"/>
      <c r="AB189" s="22"/>
      <c r="AC189" s="22"/>
      <c r="AD189" s="22"/>
      <c r="AE189" s="22"/>
      <c r="AF189" s="22"/>
      <c r="AG189" s="22"/>
      <c r="AH189" s="22"/>
      <c r="AI189" s="22"/>
      <c r="AJ189" s="22"/>
      <c r="AK189" s="22"/>
      <c r="AL189" s="22"/>
      <c r="AM189" s="22"/>
      <c r="AN189" s="22"/>
      <c r="AO189" s="22"/>
      <c r="AP189" s="22"/>
      <c r="AQ189" s="22"/>
      <c r="AR189" s="22"/>
    </row>
    <row r="190" spans="1:44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  <c r="AA190" s="22"/>
      <c r="AB190" s="22"/>
      <c r="AC190" s="22"/>
      <c r="AD190" s="22"/>
      <c r="AE190" s="22"/>
      <c r="AF190" s="22"/>
      <c r="AG190" s="22"/>
      <c r="AH190" s="22"/>
      <c r="AI190" s="22"/>
      <c r="AJ190" s="22"/>
      <c r="AK190" s="22"/>
      <c r="AL190" s="22"/>
      <c r="AM190" s="22"/>
      <c r="AN190" s="22"/>
      <c r="AO190" s="22"/>
      <c r="AP190" s="22"/>
      <c r="AQ190" s="22"/>
      <c r="AR190" s="22"/>
    </row>
    <row r="191" spans="1:44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  <c r="AA191" s="22"/>
      <c r="AB191" s="22"/>
      <c r="AC191" s="22"/>
      <c r="AD191" s="22"/>
      <c r="AE191" s="22"/>
      <c r="AF191" s="22"/>
      <c r="AG191" s="22"/>
      <c r="AH191" s="22"/>
      <c r="AI191" s="22"/>
      <c r="AJ191" s="22"/>
      <c r="AK191" s="22"/>
      <c r="AL191" s="22"/>
      <c r="AM191" s="22"/>
      <c r="AN191" s="22"/>
      <c r="AO191" s="22"/>
      <c r="AP191" s="22"/>
      <c r="AQ191" s="22"/>
      <c r="AR191" s="22"/>
    </row>
    <row r="192" spans="1:44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  <c r="AA192" s="22"/>
      <c r="AB192" s="22"/>
      <c r="AC192" s="22"/>
      <c r="AD192" s="22"/>
      <c r="AE192" s="22"/>
      <c r="AF192" s="22"/>
      <c r="AG192" s="22"/>
      <c r="AH192" s="22"/>
      <c r="AI192" s="22"/>
      <c r="AJ192" s="22"/>
      <c r="AK192" s="22"/>
      <c r="AL192" s="22"/>
      <c r="AM192" s="22"/>
      <c r="AN192" s="22"/>
      <c r="AO192" s="22"/>
      <c r="AP192" s="22"/>
      <c r="AQ192" s="22"/>
      <c r="AR192" s="22"/>
    </row>
    <row r="193" spans="1:44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  <c r="AA193" s="22"/>
      <c r="AB193" s="22"/>
      <c r="AC193" s="22"/>
      <c r="AD193" s="22"/>
      <c r="AE193" s="22"/>
      <c r="AF193" s="22"/>
      <c r="AG193" s="22"/>
      <c r="AH193" s="22"/>
      <c r="AI193" s="22"/>
      <c r="AJ193" s="22"/>
      <c r="AK193" s="22"/>
      <c r="AL193" s="22"/>
      <c r="AM193" s="22"/>
      <c r="AN193" s="22"/>
      <c r="AO193" s="22"/>
      <c r="AP193" s="22"/>
      <c r="AQ193" s="22"/>
      <c r="AR193" s="22"/>
    </row>
    <row r="194" spans="1:44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  <c r="AA194" s="22"/>
      <c r="AB194" s="22"/>
      <c r="AC194" s="22"/>
      <c r="AD194" s="22"/>
      <c r="AE194" s="22"/>
      <c r="AF194" s="22"/>
      <c r="AG194" s="22"/>
      <c r="AH194" s="22"/>
      <c r="AI194" s="22"/>
      <c r="AJ194" s="22"/>
      <c r="AK194" s="22"/>
      <c r="AL194" s="22"/>
      <c r="AM194" s="22"/>
      <c r="AN194" s="22"/>
      <c r="AO194" s="22"/>
      <c r="AP194" s="22"/>
      <c r="AQ194" s="22"/>
      <c r="AR194" s="22"/>
    </row>
    <row r="195" spans="1:44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  <c r="AA195" s="22"/>
      <c r="AB195" s="22"/>
      <c r="AC195" s="22"/>
      <c r="AD195" s="22"/>
      <c r="AE195" s="22"/>
      <c r="AF195" s="22"/>
      <c r="AG195" s="22"/>
      <c r="AH195" s="22"/>
      <c r="AI195" s="22"/>
      <c r="AJ195" s="22"/>
      <c r="AK195" s="22"/>
      <c r="AL195" s="22"/>
      <c r="AM195" s="22"/>
      <c r="AN195" s="22"/>
      <c r="AO195" s="22"/>
      <c r="AP195" s="22"/>
      <c r="AQ195" s="22"/>
      <c r="AR195" s="22"/>
    </row>
    <row r="196" spans="1:44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  <c r="AA196" s="22"/>
      <c r="AB196" s="22"/>
      <c r="AC196" s="22"/>
      <c r="AD196" s="22"/>
      <c r="AE196" s="22"/>
      <c r="AF196" s="22"/>
      <c r="AG196" s="22"/>
      <c r="AH196" s="22"/>
      <c r="AI196" s="22"/>
      <c r="AJ196" s="22"/>
      <c r="AK196" s="22"/>
      <c r="AL196" s="22"/>
      <c r="AM196" s="22"/>
      <c r="AN196" s="22"/>
      <c r="AO196" s="22"/>
      <c r="AP196" s="22"/>
      <c r="AQ196" s="22"/>
      <c r="AR196" s="22"/>
    </row>
    <row r="197" spans="1:44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  <c r="AA197" s="22"/>
      <c r="AB197" s="22"/>
      <c r="AC197" s="22"/>
      <c r="AD197" s="22"/>
      <c r="AE197" s="22"/>
      <c r="AF197" s="22"/>
      <c r="AG197" s="22"/>
      <c r="AH197" s="22"/>
      <c r="AI197" s="22"/>
      <c r="AJ197" s="22"/>
      <c r="AK197" s="22"/>
      <c r="AL197" s="22"/>
      <c r="AM197" s="22"/>
      <c r="AN197" s="22"/>
      <c r="AO197" s="22"/>
      <c r="AP197" s="22"/>
      <c r="AQ197" s="22"/>
      <c r="AR197" s="22"/>
    </row>
    <row r="198" spans="1:44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  <c r="AA198" s="22"/>
      <c r="AB198" s="22"/>
      <c r="AC198" s="22"/>
      <c r="AD198" s="22"/>
      <c r="AE198" s="22"/>
      <c r="AF198" s="22"/>
      <c r="AG198" s="22"/>
      <c r="AH198" s="22"/>
      <c r="AI198" s="22"/>
      <c r="AJ198" s="22"/>
      <c r="AK198" s="22"/>
      <c r="AL198" s="22"/>
      <c r="AM198" s="22"/>
      <c r="AN198" s="22"/>
      <c r="AO198" s="22"/>
      <c r="AP198" s="22"/>
      <c r="AQ198" s="22"/>
      <c r="AR198" s="22"/>
    </row>
    <row r="199" spans="1:44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  <c r="AA199" s="22"/>
      <c r="AB199" s="22"/>
      <c r="AC199" s="22"/>
      <c r="AD199" s="22"/>
      <c r="AE199" s="22"/>
      <c r="AF199" s="22"/>
      <c r="AG199" s="22"/>
      <c r="AH199" s="22"/>
      <c r="AI199" s="22"/>
      <c r="AJ199" s="22"/>
      <c r="AK199" s="22"/>
      <c r="AL199" s="22"/>
      <c r="AM199" s="22"/>
      <c r="AN199" s="22"/>
      <c r="AO199" s="22"/>
      <c r="AP199" s="22"/>
      <c r="AQ199" s="22"/>
      <c r="AR199" s="22"/>
    </row>
    <row r="200" spans="1:44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  <c r="AA200" s="22"/>
      <c r="AB200" s="22"/>
      <c r="AC200" s="22"/>
      <c r="AD200" s="22"/>
      <c r="AE200" s="22"/>
      <c r="AF200" s="22"/>
      <c r="AG200" s="22"/>
      <c r="AH200" s="22"/>
      <c r="AI200" s="22"/>
      <c r="AJ200" s="22"/>
      <c r="AK200" s="22"/>
      <c r="AL200" s="22"/>
      <c r="AM200" s="22"/>
      <c r="AN200" s="22"/>
      <c r="AO200" s="22"/>
      <c r="AP200" s="22"/>
      <c r="AQ200" s="22"/>
      <c r="AR200" s="22"/>
    </row>
    <row r="201" spans="1:44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  <c r="AA201" s="22"/>
      <c r="AB201" s="22"/>
      <c r="AC201" s="22"/>
      <c r="AD201" s="22"/>
      <c r="AE201" s="22"/>
      <c r="AF201" s="22"/>
      <c r="AG201" s="22"/>
      <c r="AH201" s="22"/>
      <c r="AI201" s="22"/>
      <c r="AJ201" s="22"/>
      <c r="AK201" s="22"/>
      <c r="AL201" s="22"/>
      <c r="AM201" s="22"/>
      <c r="AN201" s="22"/>
      <c r="AO201" s="22"/>
      <c r="AP201" s="22"/>
      <c r="AQ201" s="22"/>
      <c r="AR201" s="22"/>
    </row>
    <row r="202" spans="1:44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  <c r="AA202" s="22"/>
      <c r="AB202" s="22"/>
      <c r="AC202" s="22"/>
      <c r="AD202" s="22"/>
      <c r="AE202" s="22"/>
      <c r="AF202" s="22"/>
      <c r="AG202" s="22"/>
      <c r="AH202" s="22"/>
      <c r="AI202" s="22"/>
      <c r="AJ202" s="22"/>
      <c r="AK202" s="22"/>
      <c r="AL202" s="22"/>
      <c r="AM202" s="22"/>
      <c r="AN202" s="22"/>
      <c r="AO202" s="22"/>
      <c r="AP202" s="22"/>
      <c r="AQ202" s="22"/>
      <c r="AR202" s="22"/>
    </row>
    <row r="203" spans="1:44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  <c r="AA203" s="22"/>
      <c r="AB203" s="22"/>
      <c r="AC203" s="22"/>
      <c r="AD203" s="22"/>
      <c r="AE203" s="22"/>
      <c r="AF203" s="22"/>
      <c r="AG203" s="22"/>
      <c r="AH203" s="22"/>
      <c r="AI203" s="22"/>
      <c r="AJ203" s="22"/>
      <c r="AK203" s="22"/>
      <c r="AL203" s="22"/>
      <c r="AM203" s="22"/>
      <c r="AN203" s="22"/>
      <c r="AO203" s="22"/>
      <c r="AP203" s="22"/>
      <c r="AQ203" s="22"/>
      <c r="AR203" s="22"/>
    </row>
    <row r="204" spans="1:44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  <c r="AA204" s="22"/>
      <c r="AB204" s="22"/>
      <c r="AC204" s="22"/>
      <c r="AD204" s="22"/>
      <c r="AE204" s="22"/>
      <c r="AF204" s="22"/>
      <c r="AG204" s="22"/>
      <c r="AH204" s="22"/>
      <c r="AI204" s="22"/>
      <c r="AJ204" s="22"/>
      <c r="AK204" s="22"/>
      <c r="AL204" s="22"/>
      <c r="AM204" s="22"/>
      <c r="AN204" s="22"/>
      <c r="AO204" s="22"/>
      <c r="AP204" s="22"/>
      <c r="AQ204" s="22"/>
      <c r="AR204" s="22"/>
    </row>
    <row r="205" spans="1:44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  <c r="AA205" s="22"/>
      <c r="AB205" s="22"/>
      <c r="AC205" s="22"/>
      <c r="AD205" s="22"/>
      <c r="AE205" s="22"/>
      <c r="AF205" s="22"/>
      <c r="AG205" s="22"/>
      <c r="AH205" s="22"/>
      <c r="AI205" s="22"/>
      <c r="AJ205" s="22"/>
      <c r="AK205" s="22"/>
      <c r="AL205" s="22"/>
      <c r="AM205" s="22"/>
      <c r="AN205" s="22"/>
      <c r="AO205" s="22"/>
      <c r="AP205" s="22"/>
      <c r="AQ205" s="22"/>
      <c r="AR205" s="22"/>
    </row>
    <row r="206" spans="1:44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  <c r="AA206" s="22"/>
      <c r="AB206" s="22"/>
      <c r="AC206" s="22"/>
      <c r="AD206" s="22"/>
      <c r="AE206" s="22"/>
      <c r="AF206" s="22"/>
      <c r="AG206" s="22"/>
      <c r="AH206" s="22"/>
      <c r="AI206" s="22"/>
      <c r="AJ206" s="22"/>
      <c r="AK206" s="22"/>
      <c r="AL206" s="22"/>
      <c r="AM206" s="22"/>
      <c r="AN206" s="22"/>
      <c r="AO206" s="22"/>
      <c r="AP206" s="22"/>
      <c r="AQ206" s="22"/>
      <c r="AR206" s="22"/>
    </row>
    <row r="207" spans="1:44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  <c r="AA207" s="22"/>
      <c r="AB207" s="22"/>
      <c r="AC207" s="22"/>
      <c r="AD207" s="22"/>
      <c r="AE207" s="22"/>
      <c r="AF207" s="22"/>
      <c r="AG207" s="22"/>
      <c r="AH207" s="22"/>
      <c r="AI207" s="22"/>
      <c r="AJ207" s="22"/>
      <c r="AK207" s="22"/>
      <c r="AL207" s="22"/>
      <c r="AM207" s="22"/>
      <c r="AN207" s="22"/>
      <c r="AO207" s="22"/>
      <c r="AP207" s="22"/>
      <c r="AQ207" s="22"/>
      <c r="AR207" s="22"/>
    </row>
    <row r="208" spans="1:44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  <c r="AA208" s="22"/>
      <c r="AB208" s="22"/>
      <c r="AC208" s="22"/>
      <c r="AD208" s="22"/>
      <c r="AE208" s="22"/>
      <c r="AF208" s="22"/>
      <c r="AG208" s="22"/>
      <c r="AH208" s="22"/>
      <c r="AI208" s="22"/>
      <c r="AJ208" s="22"/>
      <c r="AK208" s="22"/>
      <c r="AL208" s="22"/>
      <c r="AM208" s="22"/>
      <c r="AN208" s="22"/>
      <c r="AO208" s="22"/>
      <c r="AP208" s="22"/>
      <c r="AQ208" s="22"/>
      <c r="AR208" s="22"/>
    </row>
    <row r="209" spans="1:44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  <c r="AA209" s="22"/>
      <c r="AB209" s="22"/>
      <c r="AC209" s="22"/>
      <c r="AD209" s="22"/>
      <c r="AE209" s="22"/>
      <c r="AF209" s="22"/>
      <c r="AG209" s="22"/>
      <c r="AH209" s="22"/>
      <c r="AI209" s="22"/>
      <c r="AJ209" s="22"/>
      <c r="AK209" s="22"/>
      <c r="AL209" s="22"/>
      <c r="AM209" s="22"/>
      <c r="AN209" s="22"/>
      <c r="AO209" s="22"/>
      <c r="AP209" s="22"/>
      <c r="AQ209" s="22"/>
      <c r="AR209" s="22"/>
    </row>
    <row r="210" spans="1:44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  <c r="AA210" s="22"/>
      <c r="AB210" s="22"/>
      <c r="AC210" s="22"/>
      <c r="AD210" s="22"/>
      <c r="AE210" s="22"/>
      <c r="AF210" s="22"/>
      <c r="AG210" s="22"/>
      <c r="AH210" s="22"/>
      <c r="AI210" s="22"/>
      <c r="AJ210" s="22"/>
      <c r="AK210" s="22"/>
      <c r="AL210" s="22"/>
      <c r="AM210" s="22"/>
      <c r="AN210" s="22"/>
      <c r="AO210" s="22"/>
      <c r="AP210" s="22"/>
      <c r="AQ210" s="22"/>
      <c r="AR210" s="22"/>
    </row>
    <row r="211" spans="1:44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  <c r="AA211" s="22"/>
      <c r="AB211" s="22"/>
      <c r="AC211" s="22"/>
      <c r="AD211" s="22"/>
      <c r="AE211" s="22"/>
      <c r="AF211" s="22"/>
      <c r="AG211" s="22"/>
      <c r="AH211" s="22"/>
      <c r="AI211" s="22"/>
      <c r="AJ211" s="22"/>
      <c r="AK211" s="22"/>
      <c r="AL211" s="22"/>
      <c r="AM211" s="22"/>
      <c r="AN211" s="22"/>
      <c r="AO211" s="22"/>
      <c r="AP211" s="22"/>
      <c r="AQ211" s="22"/>
      <c r="AR211" s="22"/>
    </row>
    <row r="212" spans="1:44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  <c r="AA212" s="22"/>
      <c r="AB212" s="22"/>
      <c r="AC212" s="22"/>
      <c r="AD212" s="22"/>
      <c r="AE212" s="22"/>
      <c r="AF212" s="22"/>
      <c r="AG212" s="22"/>
      <c r="AH212" s="22"/>
      <c r="AI212" s="22"/>
      <c r="AJ212" s="22"/>
      <c r="AK212" s="22"/>
      <c r="AL212" s="22"/>
      <c r="AM212" s="22"/>
      <c r="AN212" s="22"/>
      <c r="AO212" s="22"/>
      <c r="AP212" s="22"/>
      <c r="AQ212" s="22"/>
      <c r="AR212" s="22"/>
    </row>
    <row r="213" spans="1:44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  <c r="AA213" s="22"/>
      <c r="AB213" s="22"/>
      <c r="AC213" s="22"/>
      <c r="AD213" s="22"/>
      <c r="AE213" s="22"/>
      <c r="AF213" s="22"/>
      <c r="AG213" s="22"/>
      <c r="AH213" s="22"/>
      <c r="AI213" s="22"/>
      <c r="AJ213" s="22"/>
      <c r="AK213" s="22"/>
      <c r="AL213" s="22"/>
      <c r="AM213" s="22"/>
      <c r="AN213" s="22"/>
      <c r="AO213" s="22"/>
      <c r="AP213" s="22"/>
      <c r="AQ213" s="22"/>
      <c r="AR213" s="22"/>
    </row>
    <row r="214" spans="1:44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  <c r="AA214" s="22"/>
      <c r="AB214" s="22"/>
      <c r="AC214" s="22"/>
      <c r="AD214" s="22"/>
      <c r="AE214" s="22"/>
      <c r="AF214" s="22"/>
      <c r="AG214" s="22"/>
      <c r="AH214" s="22"/>
      <c r="AI214" s="22"/>
      <c r="AJ214" s="22"/>
      <c r="AK214" s="22"/>
      <c r="AL214" s="22"/>
      <c r="AM214" s="22"/>
      <c r="AN214" s="22"/>
      <c r="AO214" s="22"/>
      <c r="AP214" s="22"/>
      <c r="AQ214" s="22"/>
      <c r="AR214" s="22"/>
    </row>
    <row r="215" spans="1:44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  <c r="AA215" s="22"/>
      <c r="AB215" s="22"/>
      <c r="AC215" s="22"/>
      <c r="AD215" s="22"/>
      <c r="AE215" s="22"/>
      <c r="AF215" s="22"/>
      <c r="AG215" s="22"/>
      <c r="AH215" s="22"/>
      <c r="AI215" s="22"/>
      <c r="AJ215" s="22"/>
      <c r="AK215" s="22"/>
      <c r="AL215" s="22"/>
      <c r="AM215" s="22"/>
      <c r="AN215" s="22"/>
      <c r="AO215" s="22"/>
      <c r="AP215" s="22"/>
      <c r="AQ215" s="22"/>
      <c r="AR215" s="22"/>
    </row>
    <row r="216" spans="1:44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  <c r="AA216" s="22"/>
      <c r="AB216" s="22"/>
      <c r="AC216" s="22"/>
      <c r="AD216" s="22"/>
      <c r="AE216" s="22"/>
      <c r="AF216" s="22"/>
      <c r="AG216" s="22"/>
      <c r="AH216" s="22"/>
      <c r="AI216" s="22"/>
      <c r="AJ216" s="22"/>
      <c r="AK216" s="22"/>
      <c r="AL216" s="22"/>
      <c r="AM216" s="22"/>
      <c r="AN216" s="22"/>
      <c r="AO216" s="22"/>
      <c r="AP216" s="22"/>
      <c r="AQ216" s="22"/>
      <c r="AR216" s="22"/>
    </row>
    <row r="217" spans="1:44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  <c r="AA217" s="22"/>
      <c r="AB217" s="22"/>
      <c r="AC217" s="22"/>
      <c r="AD217" s="22"/>
      <c r="AE217" s="22"/>
      <c r="AF217" s="22"/>
      <c r="AG217" s="22"/>
      <c r="AH217" s="22"/>
      <c r="AI217" s="22"/>
      <c r="AJ217" s="22"/>
      <c r="AK217" s="22"/>
      <c r="AL217" s="22"/>
      <c r="AM217" s="22"/>
      <c r="AN217" s="22"/>
      <c r="AO217" s="22"/>
      <c r="AP217" s="22"/>
      <c r="AQ217" s="22"/>
      <c r="AR217" s="22"/>
    </row>
    <row r="218" spans="1:44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  <c r="AA218" s="22"/>
      <c r="AB218" s="22"/>
      <c r="AC218" s="22"/>
      <c r="AD218" s="22"/>
      <c r="AE218" s="22"/>
      <c r="AF218" s="22"/>
      <c r="AG218" s="22"/>
      <c r="AH218" s="22"/>
      <c r="AI218" s="22"/>
      <c r="AJ218" s="22"/>
      <c r="AK218" s="22"/>
      <c r="AL218" s="22"/>
      <c r="AM218" s="22"/>
      <c r="AN218" s="22"/>
      <c r="AO218" s="22"/>
      <c r="AP218" s="22"/>
      <c r="AQ218" s="22"/>
      <c r="AR218" s="22"/>
    </row>
    <row r="219" spans="1:44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  <c r="AA219" s="22"/>
      <c r="AB219" s="22"/>
      <c r="AC219" s="22"/>
      <c r="AD219" s="22"/>
      <c r="AE219" s="22"/>
      <c r="AF219" s="22"/>
      <c r="AG219" s="22"/>
      <c r="AH219" s="22"/>
      <c r="AI219" s="22"/>
      <c r="AJ219" s="22"/>
      <c r="AK219" s="22"/>
      <c r="AL219" s="22"/>
      <c r="AM219" s="22"/>
      <c r="AN219" s="22"/>
      <c r="AO219" s="22"/>
      <c r="AP219" s="22"/>
      <c r="AQ219" s="22"/>
      <c r="AR219" s="22"/>
    </row>
    <row r="220" spans="1:44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  <c r="AA220" s="22"/>
      <c r="AB220" s="22"/>
      <c r="AC220" s="22"/>
      <c r="AD220" s="22"/>
      <c r="AE220" s="22"/>
      <c r="AF220" s="22"/>
      <c r="AG220" s="22"/>
      <c r="AH220" s="22"/>
      <c r="AI220" s="22"/>
      <c r="AJ220" s="22"/>
      <c r="AK220" s="22"/>
      <c r="AL220" s="22"/>
      <c r="AM220" s="22"/>
      <c r="AN220" s="22"/>
      <c r="AO220" s="22"/>
      <c r="AP220" s="22"/>
      <c r="AQ220" s="22"/>
      <c r="AR220" s="22"/>
    </row>
    <row r="221" spans="1:44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  <c r="AA221" s="22"/>
      <c r="AB221" s="22"/>
      <c r="AC221" s="22"/>
      <c r="AD221" s="22"/>
      <c r="AE221" s="22"/>
      <c r="AF221" s="22"/>
      <c r="AG221" s="22"/>
      <c r="AH221" s="22"/>
      <c r="AI221" s="22"/>
      <c r="AJ221" s="22"/>
      <c r="AK221" s="22"/>
      <c r="AL221" s="22"/>
      <c r="AM221" s="22"/>
      <c r="AN221" s="22"/>
      <c r="AO221" s="22"/>
      <c r="AP221" s="22"/>
      <c r="AQ221" s="22"/>
      <c r="AR221" s="22"/>
    </row>
    <row r="222" spans="1:44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  <c r="AA222" s="22"/>
      <c r="AB222" s="22"/>
      <c r="AC222" s="22"/>
      <c r="AD222" s="22"/>
      <c r="AE222" s="22"/>
      <c r="AF222" s="22"/>
      <c r="AG222" s="22"/>
      <c r="AH222" s="22"/>
      <c r="AI222" s="22"/>
      <c r="AJ222" s="22"/>
      <c r="AK222" s="22"/>
      <c r="AL222" s="22"/>
      <c r="AM222" s="22"/>
      <c r="AN222" s="22"/>
      <c r="AO222" s="22"/>
      <c r="AP222" s="22"/>
      <c r="AQ222" s="22"/>
      <c r="AR222" s="22"/>
    </row>
    <row r="223" spans="1:44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  <c r="AA223" s="22"/>
      <c r="AB223" s="22"/>
      <c r="AC223" s="22"/>
      <c r="AD223" s="22"/>
      <c r="AE223" s="22"/>
      <c r="AF223" s="22"/>
      <c r="AG223" s="22"/>
      <c r="AH223" s="22"/>
      <c r="AI223" s="22"/>
      <c r="AJ223" s="22"/>
      <c r="AK223" s="22"/>
      <c r="AL223" s="22"/>
      <c r="AM223" s="22"/>
      <c r="AN223" s="22"/>
      <c r="AO223" s="22"/>
      <c r="AP223" s="22"/>
      <c r="AQ223" s="22"/>
      <c r="AR223" s="22"/>
    </row>
    <row r="224" spans="1:44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  <c r="AA224" s="22"/>
      <c r="AB224" s="22"/>
      <c r="AC224" s="22"/>
      <c r="AD224" s="22"/>
      <c r="AE224" s="22"/>
      <c r="AF224" s="22"/>
      <c r="AG224" s="22"/>
      <c r="AH224" s="22"/>
      <c r="AI224" s="22"/>
      <c r="AJ224" s="22"/>
      <c r="AK224" s="22"/>
      <c r="AL224" s="22"/>
      <c r="AM224" s="22"/>
      <c r="AN224" s="22"/>
      <c r="AO224" s="22"/>
      <c r="AP224" s="22"/>
      <c r="AQ224" s="22"/>
      <c r="AR224" s="22"/>
    </row>
    <row r="225" spans="1:44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  <c r="AA225" s="22"/>
      <c r="AB225" s="22"/>
      <c r="AC225" s="22"/>
      <c r="AD225" s="22"/>
      <c r="AE225" s="22"/>
      <c r="AF225" s="22"/>
      <c r="AG225" s="22"/>
      <c r="AH225" s="22"/>
      <c r="AI225" s="22"/>
      <c r="AJ225" s="22"/>
      <c r="AK225" s="22"/>
      <c r="AL225" s="22"/>
      <c r="AM225" s="22"/>
      <c r="AN225" s="22"/>
      <c r="AO225" s="22"/>
      <c r="AP225" s="22"/>
      <c r="AQ225" s="22"/>
      <c r="AR225" s="22"/>
    </row>
    <row r="226" spans="1:44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  <c r="AA226" s="22"/>
      <c r="AB226" s="22"/>
      <c r="AC226" s="22"/>
      <c r="AD226" s="22"/>
      <c r="AE226" s="22"/>
      <c r="AF226" s="22"/>
      <c r="AG226" s="22"/>
      <c r="AH226" s="22"/>
      <c r="AI226" s="22"/>
      <c r="AJ226" s="22"/>
      <c r="AK226" s="22"/>
      <c r="AL226" s="22"/>
      <c r="AM226" s="22"/>
      <c r="AN226" s="22"/>
      <c r="AO226" s="22"/>
      <c r="AP226" s="22"/>
      <c r="AQ226" s="22"/>
      <c r="AR226" s="22"/>
    </row>
    <row r="227" spans="1:44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  <c r="AA227" s="22"/>
      <c r="AB227" s="22"/>
      <c r="AC227" s="22"/>
      <c r="AD227" s="22"/>
      <c r="AE227" s="22"/>
      <c r="AF227" s="22"/>
      <c r="AG227" s="22"/>
      <c r="AH227" s="22"/>
      <c r="AI227" s="22"/>
      <c r="AJ227" s="22"/>
      <c r="AK227" s="22"/>
      <c r="AL227" s="22"/>
      <c r="AM227" s="22"/>
      <c r="AN227" s="22"/>
      <c r="AO227" s="22"/>
      <c r="AP227" s="22"/>
      <c r="AQ227" s="22"/>
      <c r="AR227" s="22"/>
    </row>
    <row r="228" spans="1:44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  <c r="AA228" s="22"/>
      <c r="AB228" s="22"/>
      <c r="AC228" s="22"/>
      <c r="AD228" s="22"/>
      <c r="AE228" s="22"/>
      <c r="AF228" s="22"/>
      <c r="AG228" s="22"/>
      <c r="AH228" s="22"/>
      <c r="AI228" s="22"/>
      <c r="AJ228" s="22"/>
      <c r="AK228" s="22"/>
      <c r="AL228" s="22"/>
      <c r="AM228" s="22"/>
      <c r="AN228" s="22"/>
      <c r="AO228" s="22"/>
      <c r="AP228" s="22"/>
      <c r="AQ228" s="22"/>
      <c r="AR228" s="22"/>
    </row>
    <row r="229" spans="1:44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  <c r="AA229" s="22"/>
      <c r="AB229" s="22"/>
      <c r="AC229" s="22"/>
      <c r="AD229" s="22"/>
      <c r="AE229" s="22"/>
      <c r="AF229" s="22"/>
      <c r="AG229" s="22"/>
      <c r="AH229" s="22"/>
      <c r="AI229" s="22"/>
      <c r="AJ229" s="22"/>
      <c r="AK229" s="22"/>
      <c r="AL229" s="22"/>
      <c r="AM229" s="22"/>
      <c r="AN229" s="22"/>
      <c r="AO229" s="22"/>
      <c r="AP229" s="22"/>
      <c r="AQ229" s="22"/>
      <c r="AR229" s="22"/>
    </row>
    <row r="230" spans="1:44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  <c r="AA230" s="22"/>
      <c r="AB230" s="22"/>
      <c r="AC230" s="22"/>
      <c r="AD230" s="22"/>
      <c r="AE230" s="22"/>
      <c r="AF230" s="22"/>
      <c r="AG230" s="22"/>
      <c r="AH230" s="22"/>
      <c r="AI230" s="22"/>
      <c r="AJ230" s="22"/>
      <c r="AK230" s="22"/>
      <c r="AL230" s="22"/>
      <c r="AM230" s="22"/>
      <c r="AN230" s="22"/>
      <c r="AO230" s="22"/>
      <c r="AP230" s="22"/>
      <c r="AQ230" s="22"/>
      <c r="AR230" s="22"/>
    </row>
    <row r="231" spans="1:44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  <c r="AA231" s="22"/>
      <c r="AB231" s="22"/>
      <c r="AC231" s="22"/>
      <c r="AD231" s="22"/>
      <c r="AE231" s="22"/>
      <c r="AF231" s="22"/>
      <c r="AG231" s="22"/>
      <c r="AH231" s="22"/>
      <c r="AI231" s="22"/>
      <c r="AJ231" s="22"/>
      <c r="AK231" s="22"/>
      <c r="AL231" s="22"/>
      <c r="AM231" s="22"/>
      <c r="AN231" s="22"/>
      <c r="AO231" s="22"/>
      <c r="AP231" s="22"/>
      <c r="AQ231" s="22"/>
      <c r="AR231" s="22"/>
    </row>
    <row r="232" spans="1:44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  <c r="AA232" s="22"/>
      <c r="AB232" s="22"/>
      <c r="AC232" s="22"/>
      <c r="AD232" s="22"/>
      <c r="AE232" s="22"/>
      <c r="AF232" s="22"/>
      <c r="AG232" s="22"/>
      <c r="AH232" s="22"/>
      <c r="AI232" s="22"/>
      <c r="AJ232" s="22"/>
      <c r="AK232" s="22"/>
      <c r="AL232" s="22"/>
      <c r="AM232" s="22"/>
      <c r="AN232" s="22"/>
      <c r="AO232" s="22"/>
      <c r="AP232" s="22"/>
      <c r="AQ232" s="22"/>
      <c r="AR232" s="22"/>
    </row>
    <row r="233" spans="1:44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  <c r="AA233" s="22"/>
      <c r="AB233" s="22"/>
      <c r="AC233" s="22"/>
      <c r="AD233" s="22"/>
      <c r="AE233" s="22"/>
      <c r="AF233" s="22"/>
      <c r="AG233" s="22"/>
      <c r="AH233" s="22"/>
      <c r="AI233" s="22"/>
      <c r="AJ233" s="22"/>
      <c r="AK233" s="22"/>
      <c r="AL233" s="22"/>
      <c r="AM233" s="22"/>
      <c r="AN233" s="22"/>
      <c r="AO233" s="22"/>
      <c r="AP233" s="22"/>
      <c r="AQ233" s="22"/>
      <c r="AR233" s="22"/>
    </row>
    <row r="234" spans="1:44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  <c r="AA234" s="22"/>
      <c r="AB234" s="22"/>
      <c r="AC234" s="22"/>
      <c r="AD234" s="22"/>
      <c r="AE234" s="22"/>
      <c r="AF234" s="22"/>
      <c r="AG234" s="22"/>
      <c r="AH234" s="22"/>
      <c r="AI234" s="22"/>
      <c r="AJ234" s="22"/>
      <c r="AK234" s="22"/>
      <c r="AL234" s="22"/>
      <c r="AM234" s="22"/>
      <c r="AN234" s="22"/>
      <c r="AO234" s="22"/>
      <c r="AP234" s="22"/>
      <c r="AQ234" s="22"/>
      <c r="AR234" s="22"/>
    </row>
    <row r="235" spans="1:44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  <c r="AA235" s="22"/>
      <c r="AB235" s="22"/>
      <c r="AC235" s="22"/>
      <c r="AD235" s="22"/>
      <c r="AE235" s="22"/>
      <c r="AF235" s="22"/>
      <c r="AG235" s="22"/>
      <c r="AH235" s="22"/>
      <c r="AI235" s="22"/>
      <c r="AJ235" s="22"/>
      <c r="AK235" s="22"/>
      <c r="AL235" s="22"/>
      <c r="AM235" s="22"/>
      <c r="AN235" s="22"/>
      <c r="AO235" s="22"/>
      <c r="AP235" s="22"/>
      <c r="AQ235" s="22"/>
      <c r="AR235" s="22"/>
    </row>
    <row r="236" spans="1:44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  <c r="AA236" s="22"/>
      <c r="AB236" s="22"/>
      <c r="AC236" s="22"/>
      <c r="AD236" s="22"/>
      <c r="AE236" s="22"/>
      <c r="AF236" s="22"/>
      <c r="AG236" s="22"/>
      <c r="AH236" s="22"/>
      <c r="AI236" s="22"/>
      <c r="AJ236" s="22"/>
      <c r="AK236" s="22"/>
      <c r="AL236" s="22"/>
      <c r="AM236" s="22"/>
      <c r="AN236" s="22"/>
      <c r="AO236" s="22"/>
      <c r="AP236" s="22"/>
      <c r="AQ236" s="22"/>
      <c r="AR236" s="22"/>
    </row>
    <row r="237" spans="1:44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  <c r="AA237" s="22"/>
      <c r="AB237" s="22"/>
      <c r="AC237" s="22"/>
      <c r="AD237" s="22"/>
      <c r="AE237" s="22"/>
      <c r="AF237" s="22"/>
      <c r="AG237" s="22"/>
      <c r="AH237" s="22"/>
      <c r="AI237" s="22"/>
      <c r="AJ237" s="22"/>
      <c r="AK237" s="22"/>
      <c r="AL237" s="22"/>
      <c r="AM237" s="22"/>
      <c r="AN237" s="22"/>
      <c r="AO237" s="22"/>
      <c r="AP237" s="22"/>
      <c r="AQ237" s="22"/>
      <c r="AR237" s="22"/>
    </row>
    <row r="238" spans="1:44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  <c r="AA238" s="22"/>
      <c r="AB238" s="22"/>
      <c r="AC238" s="22"/>
      <c r="AD238" s="22"/>
      <c r="AE238" s="22"/>
      <c r="AF238" s="22"/>
      <c r="AG238" s="22"/>
      <c r="AH238" s="22"/>
      <c r="AI238" s="22"/>
      <c r="AJ238" s="22"/>
      <c r="AK238" s="22"/>
      <c r="AL238" s="22"/>
      <c r="AM238" s="22"/>
      <c r="AN238" s="22"/>
      <c r="AO238" s="22"/>
      <c r="AP238" s="22"/>
      <c r="AQ238" s="22"/>
      <c r="AR238" s="22"/>
    </row>
    <row r="239" spans="1:44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  <c r="AA239" s="22"/>
      <c r="AB239" s="22"/>
      <c r="AC239" s="22"/>
      <c r="AD239" s="22"/>
      <c r="AE239" s="22"/>
      <c r="AF239" s="22"/>
      <c r="AG239" s="22"/>
      <c r="AH239" s="22"/>
      <c r="AI239" s="22"/>
      <c r="AJ239" s="22"/>
      <c r="AK239" s="22"/>
      <c r="AL239" s="22"/>
      <c r="AM239" s="22"/>
      <c r="AN239" s="22"/>
      <c r="AO239" s="22"/>
      <c r="AP239" s="22"/>
      <c r="AQ239" s="22"/>
      <c r="AR239" s="22"/>
    </row>
    <row r="240" spans="1:44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  <c r="AA240" s="22"/>
      <c r="AB240" s="22"/>
      <c r="AC240" s="22"/>
      <c r="AD240" s="22"/>
      <c r="AE240" s="22"/>
      <c r="AF240" s="22"/>
      <c r="AG240" s="22"/>
      <c r="AH240" s="22"/>
      <c r="AI240" s="22"/>
      <c r="AJ240" s="22"/>
      <c r="AK240" s="22"/>
      <c r="AL240" s="22"/>
      <c r="AM240" s="22"/>
      <c r="AN240" s="22"/>
      <c r="AO240" s="22"/>
      <c r="AP240" s="22"/>
      <c r="AQ240" s="22"/>
      <c r="AR240" s="22"/>
    </row>
    <row r="241" spans="1:44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  <c r="AA241" s="22"/>
      <c r="AB241" s="22"/>
      <c r="AC241" s="22"/>
      <c r="AD241" s="22"/>
      <c r="AE241" s="22"/>
      <c r="AF241" s="22"/>
      <c r="AG241" s="22"/>
      <c r="AH241" s="22"/>
      <c r="AI241" s="22"/>
      <c r="AJ241" s="22"/>
      <c r="AK241" s="22"/>
      <c r="AL241" s="22"/>
      <c r="AM241" s="22"/>
      <c r="AN241" s="22"/>
      <c r="AO241" s="22"/>
      <c r="AP241" s="22"/>
      <c r="AQ241" s="22"/>
      <c r="AR241" s="22"/>
    </row>
    <row r="242" spans="1:44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  <c r="AA242" s="22"/>
      <c r="AB242" s="22"/>
      <c r="AC242" s="22"/>
      <c r="AD242" s="22"/>
      <c r="AE242" s="22"/>
      <c r="AF242" s="22"/>
      <c r="AG242" s="22"/>
      <c r="AH242" s="22"/>
      <c r="AI242" s="22"/>
      <c r="AJ242" s="22"/>
      <c r="AK242" s="22"/>
      <c r="AL242" s="22"/>
      <c r="AM242" s="22"/>
      <c r="AN242" s="22"/>
      <c r="AO242" s="22"/>
      <c r="AP242" s="22"/>
      <c r="AQ242" s="22"/>
      <c r="AR242" s="22"/>
    </row>
    <row r="243" spans="1:44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  <c r="AA243" s="22"/>
      <c r="AB243" s="22"/>
      <c r="AC243" s="22"/>
      <c r="AD243" s="22"/>
      <c r="AE243" s="22"/>
      <c r="AF243" s="22"/>
      <c r="AG243" s="22"/>
      <c r="AH243" s="22"/>
      <c r="AI243" s="22"/>
      <c r="AJ243" s="22"/>
      <c r="AK243" s="22"/>
      <c r="AL243" s="22"/>
      <c r="AM243" s="22"/>
      <c r="AN243" s="22"/>
      <c r="AO243" s="22"/>
      <c r="AP243" s="22"/>
      <c r="AQ243" s="22"/>
      <c r="AR243" s="22"/>
    </row>
    <row r="244" spans="1:44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  <c r="AA244" s="22"/>
      <c r="AB244" s="22"/>
      <c r="AC244" s="22"/>
      <c r="AD244" s="22"/>
      <c r="AE244" s="22"/>
      <c r="AF244" s="22"/>
      <c r="AG244" s="22"/>
      <c r="AH244" s="22"/>
      <c r="AI244" s="22"/>
      <c r="AJ244" s="22"/>
      <c r="AK244" s="22"/>
      <c r="AL244" s="22"/>
      <c r="AM244" s="22"/>
      <c r="AN244" s="22"/>
      <c r="AO244" s="22"/>
      <c r="AP244" s="22"/>
      <c r="AQ244" s="22"/>
      <c r="AR244" s="22"/>
    </row>
    <row r="245" spans="1:44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  <c r="AA245" s="22"/>
      <c r="AB245" s="22"/>
      <c r="AC245" s="22"/>
      <c r="AD245" s="22"/>
      <c r="AE245" s="22"/>
      <c r="AF245" s="22"/>
      <c r="AG245" s="22"/>
      <c r="AH245" s="22"/>
      <c r="AI245" s="22"/>
      <c r="AJ245" s="22"/>
      <c r="AK245" s="22"/>
      <c r="AL245" s="22"/>
      <c r="AM245" s="22"/>
      <c r="AN245" s="22"/>
      <c r="AO245" s="22"/>
      <c r="AP245" s="22"/>
      <c r="AQ245" s="22"/>
      <c r="AR245" s="22"/>
    </row>
    <row r="246" spans="1:44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  <c r="AA246" s="22"/>
      <c r="AB246" s="22"/>
      <c r="AC246" s="22"/>
      <c r="AD246" s="22"/>
      <c r="AE246" s="22"/>
      <c r="AF246" s="22"/>
      <c r="AG246" s="22"/>
      <c r="AH246" s="22"/>
      <c r="AI246" s="22"/>
      <c r="AJ246" s="22"/>
      <c r="AK246" s="22"/>
      <c r="AL246" s="22"/>
      <c r="AM246" s="22"/>
      <c r="AN246" s="22"/>
      <c r="AO246" s="22"/>
      <c r="AP246" s="22"/>
      <c r="AQ246" s="22"/>
      <c r="AR246" s="22"/>
    </row>
    <row r="247" spans="1:44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  <c r="AA247" s="22"/>
      <c r="AB247" s="22"/>
      <c r="AC247" s="22"/>
      <c r="AD247" s="22"/>
      <c r="AE247" s="22"/>
      <c r="AF247" s="22"/>
      <c r="AG247" s="22"/>
      <c r="AH247" s="22"/>
      <c r="AI247" s="22"/>
      <c r="AJ247" s="22"/>
      <c r="AK247" s="22"/>
      <c r="AL247" s="22"/>
      <c r="AM247" s="22"/>
      <c r="AN247" s="22"/>
      <c r="AO247" s="22"/>
      <c r="AP247" s="22"/>
      <c r="AQ247" s="22"/>
      <c r="AR247" s="22"/>
    </row>
    <row r="248" spans="1:44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  <c r="AA248" s="22"/>
      <c r="AB248" s="22"/>
      <c r="AC248" s="22"/>
      <c r="AD248" s="22"/>
      <c r="AE248" s="22"/>
      <c r="AF248" s="22"/>
      <c r="AG248" s="22"/>
      <c r="AH248" s="22"/>
      <c r="AI248" s="22"/>
      <c r="AJ248" s="22"/>
      <c r="AK248" s="22"/>
      <c r="AL248" s="22"/>
      <c r="AM248" s="22"/>
      <c r="AN248" s="22"/>
      <c r="AO248" s="22"/>
      <c r="AP248" s="22"/>
      <c r="AQ248" s="22"/>
      <c r="AR248" s="22"/>
    </row>
    <row r="249" spans="1:44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  <c r="AA249" s="22"/>
      <c r="AB249" s="22"/>
      <c r="AC249" s="22"/>
      <c r="AD249" s="22"/>
      <c r="AE249" s="22"/>
      <c r="AF249" s="22"/>
      <c r="AG249" s="22"/>
      <c r="AH249" s="22"/>
      <c r="AI249" s="22"/>
      <c r="AJ249" s="22"/>
      <c r="AK249" s="22"/>
      <c r="AL249" s="22"/>
      <c r="AM249" s="22"/>
      <c r="AN249" s="22"/>
      <c r="AO249" s="22"/>
      <c r="AP249" s="22"/>
      <c r="AQ249" s="22"/>
      <c r="AR249" s="22"/>
    </row>
    <row r="250" spans="1:44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  <c r="AA250" s="22"/>
      <c r="AB250" s="22"/>
      <c r="AC250" s="22"/>
      <c r="AD250" s="22"/>
      <c r="AE250" s="22"/>
      <c r="AF250" s="22"/>
      <c r="AG250" s="22"/>
      <c r="AH250" s="22"/>
      <c r="AI250" s="22"/>
      <c r="AJ250" s="22"/>
      <c r="AK250" s="22"/>
      <c r="AL250" s="22"/>
      <c r="AM250" s="22"/>
      <c r="AN250" s="22"/>
      <c r="AO250" s="22"/>
      <c r="AP250" s="22"/>
      <c r="AQ250" s="22"/>
      <c r="AR250" s="22"/>
    </row>
    <row r="251" spans="1:44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  <c r="AA251" s="22"/>
      <c r="AB251" s="22"/>
      <c r="AC251" s="22"/>
      <c r="AD251" s="22"/>
      <c r="AE251" s="22"/>
      <c r="AF251" s="22"/>
      <c r="AG251" s="22"/>
      <c r="AH251" s="22"/>
      <c r="AI251" s="22"/>
      <c r="AJ251" s="22"/>
      <c r="AK251" s="22"/>
      <c r="AL251" s="22"/>
      <c r="AM251" s="22"/>
      <c r="AN251" s="22"/>
      <c r="AO251" s="22"/>
      <c r="AP251" s="22"/>
      <c r="AQ251" s="22"/>
      <c r="AR251" s="22"/>
    </row>
    <row r="252" spans="1:44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  <c r="AA252" s="22"/>
      <c r="AB252" s="22"/>
      <c r="AC252" s="22"/>
      <c r="AD252" s="22"/>
      <c r="AE252" s="22"/>
      <c r="AF252" s="22"/>
      <c r="AG252" s="22"/>
      <c r="AH252" s="22"/>
      <c r="AI252" s="22"/>
      <c r="AJ252" s="22"/>
      <c r="AK252" s="22"/>
      <c r="AL252" s="22"/>
      <c r="AM252" s="22"/>
      <c r="AN252" s="22"/>
      <c r="AO252" s="22"/>
      <c r="AP252" s="22"/>
      <c r="AQ252" s="22"/>
      <c r="AR252" s="22"/>
    </row>
    <row r="253" spans="1:44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  <c r="AA253" s="22"/>
      <c r="AB253" s="22"/>
      <c r="AC253" s="22"/>
      <c r="AD253" s="22"/>
      <c r="AE253" s="22"/>
      <c r="AF253" s="22"/>
      <c r="AG253" s="22"/>
      <c r="AH253" s="22"/>
      <c r="AI253" s="22"/>
      <c r="AJ253" s="22"/>
      <c r="AK253" s="22"/>
      <c r="AL253" s="22"/>
      <c r="AM253" s="22"/>
      <c r="AN253" s="22"/>
      <c r="AO253" s="22"/>
      <c r="AP253" s="22"/>
      <c r="AQ253" s="22"/>
      <c r="AR253" s="22"/>
    </row>
    <row r="254" spans="1:44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  <c r="AA254" s="22"/>
      <c r="AB254" s="22"/>
      <c r="AC254" s="22"/>
      <c r="AD254" s="22"/>
      <c r="AE254" s="22"/>
      <c r="AF254" s="22"/>
      <c r="AG254" s="22"/>
      <c r="AH254" s="22"/>
      <c r="AI254" s="22"/>
      <c r="AJ254" s="22"/>
      <c r="AK254" s="22"/>
      <c r="AL254" s="22"/>
      <c r="AM254" s="22"/>
      <c r="AN254" s="22"/>
      <c r="AO254" s="22"/>
      <c r="AP254" s="22"/>
      <c r="AQ254" s="22"/>
      <c r="AR254" s="22"/>
    </row>
    <row r="255" spans="1:44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  <c r="AA255" s="22"/>
      <c r="AB255" s="22"/>
      <c r="AC255" s="22"/>
      <c r="AD255" s="22"/>
      <c r="AE255" s="22"/>
      <c r="AF255" s="22"/>
      <c r="AG255" s="22"/>
      <c r="AH255" s="22"/>
      <c r="AI255" s="22"/>
      <c r="AJ255" s="22"/>
      <c r="AK255" s="22"/>
      <c r="AL255" s="22"/>
      <c r="AM255" s="22"/>
      <c r="AN255" s="22"/>
      <c r="AO255" s="22"/>
      <c r="AP255" s="22"/>
      <c r="AQ255" s="22"/>
      <c r="AR255" s="22"/>
    </row>
    <row r="256" spans="1:44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  <c r="AA256" s="22"/>
      <c r="AB256" s="22"/>
      <c r="AC256" s="22"/>
      <c r="AD256" s="22"/>
      <c r="AE256" s="22"/>
      <c r="AF256" s="22"/>
      <c r="AG256" s="22"/>
      <c r="AH256" s="22"/>
      <c r="AI256" s="22"/>
      <c r="AJ256" s="22"/>
      <c r="AK256" s="22"/>
      <c r="AL256" s="22"/>
      <c r="AM256" s="22"/>
      <c r="AN256" s="22"/>
      <c r="AO256" s="22"/>
      <c r="AP256" s="22"/>
      <c r="AQ256" s="22"/>
      <c r="AR256" s="22"/>
    </row>
    <row r="257" spans="1:44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  <c r="AA257" s="22"/>
      <c r="AB257" s="22"/>
      <c r="AC257" s="22"/>
      <c r="AD257" s="22"/>
      <c r="AE257" s="22"/>
      <c r="AF257" s="22"/>
      <c r="AG257" s="22"/>
      <c r="AH257" s="22"/>
      <c r="AI257" s="22"/>
      <c r="AJ257" s="22"/>
      <c r="AK257" s="22"/>
      <c r="AL257" s="22"/>
      <c r="AM257" s="22"/>
      <c r="AN257" s="22"/>
      <c r="AO257" s="22"/>
      <c r="AP257" s="22"/>
      <c r="AQ257" s="22"/>
      <c r="AR257" s="22"/>
    </row>
    <row r="258" spans="1:44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  <c r="AA258" s="22"/>
      <c r="AB258" s="22"/>
      <c r="AC258" s="22"/>
      <c r="AD258" s="22"/>
      <c r="AE258" s="22"/>
      <c r="AF258" s="22"/>
      <c r="AG258" s="22"/>
      <c r="AH258" s="22"/>
      <c r="AI258" s="22"/>
      <c r="AJ258" s="22"/>
      <c r="AK258" s="22"/>
      <c r="AL258" s="22"/>
      <c r="AM258" s="22"/>
      <c r="AN258" s="22"/>
      <c r="AO258" s="22"/>
      <c r="AP258" s="22"/>
      <c r="AQ258" s="22"/>
      <c r="AR258" s="22"/>
    </row>
    <row r="259" spans="1:44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  <c r="AA259" s="22"/>
      <c r="AB259" s="22"/>
      <c r="AC259" s="22"/>
      <c r="AD259" s="22"/>
      <c r="AE259" s="22"/>
      <c r="AF259" s="22"/>
      <c r="AG259" s="22"/>
      <c r="AH259" s="22"/>
      <c r="AI259" s="22"/>
      <c r="AJ259" s="22"/>
      <c r="AK259" s="22"/>
      <c r="AL259" s="22"/>
      <c r="AM259" s="22"/>
      <c r="AN259" s="22"/>
      <c r="AO259" s="22"/>
      <c r="AP259" s="22"/>
      <c r="AQ259" s="22"/>
      <c r="AR259" s="22"/>
    </row>
    <row r="260" spans="1:44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  <c r="AA260" s="22"/>
      <c r="AB260" s="22"/>
      <c r="AC260" s="22"/>
      <c r="AD260" s="22"/>
      <c r="AE260" s="22"/>
      <c r="AF260" s="22"/>
      <c r="AG260" s="22"/>
      <c r="AH260" s="22"/>
      <c r="AI260" s="22"/>
      <c r="AJ260" s="22"/>
      <c r="AK260" s="22"/>
      <c r="AL260" s="22"/>
      <c r="AM260" s="22"/>
      <c r="AN260" s="22"/>
      <c r="AO260" s="22"/>
      <c r="AP260" s="22"/>
      <c r="AQ260" s="22"/>
      <c r="AR260" s="22"/>
    </row>
    <row r="261" spans="1:44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  <c r="AA261" s="22"/>
      <c r="AB261" s="22"/>
      <c r="AC261" s="22"/>
      <c r="AD261" s="22"/>
      <c r="AE261" s="22"/>
      <c r="AF261" s="22"/>
      <c r="AG261" s="22"/>
      <c r="AH261" s="22"/>
      <c r="AI261" s="22"/>
      <c r="AJ261" s="22"/>
      <c r="AK261" s="22"/>
      <c r="AL261" s="22"/>
      <c r="AM261" s="22"/>
      <c r="AN261" s="22"/>
      <c r="AO261" s="22"/>
      <c r="AP261" s="22"/>
      <c r="AQ261" s="22"/>
      <c r="AR261" s="22"/>
    </row>
    <row r="262" spans="1:44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  <c r="AA262" s="22"/>
      <c r="AB262" s="22"/>
      <c r="AC262" s="22"/>
      <c r="AD262" s="22"/>
      <c r="AE262" s="22"/>
      <c r="AF262" s="22"/>
      <c r="AG262" s="22"/>
      <c r="AH262" s="22"/>
      <c r="AI262" s="22"/>
      <c r="AJ262" s="22"/>
      <c r="AK262" s="22"/>
      <c r="AL262" s="22"/>
      <c r="AM262" s="22"/>
      <c r="AN262" s="22"/>
      <c r="AO262" s="22"/>
      <c r="AP262" s="22"/>
      <c r="AQ262" s="22"/>
      <c r="AR262" s="22"/>
    </row>
    <row r="263" spans="1:44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  <c r="AA263" s="22"/>
      <c r="AB263" s="22"/>
      <c r="AC263" s="22"/>
      <c r="AD263" s="22"/>
      <c r="AE263" s="22"/>
      <c r="AF263" s="22"/>
      <c r="AG263" s="22"/>
      <c r="AH263" s="22"/>
      <c r="AI263" s="22"/>
      <c r="AJ263" s="22"/>
      <c r="AK263" s="22"/>
      <c r="AL263" s="22"/>
      <c r="AM263" s="22"/>
      <c r="AN263" s="22"/>
      <c r="AO263" s="22"/>
      <c r="AP263" s="22"/>
      <c r="AQ263" s="22"/>
      <c r="AR263" s="22"/>
    </row>
    <row r="264" spans="1:44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  <c r="AA264" s="22"/>
      <c r="AB264" s="22"/>
      <c r="AC264" s="22"/>
      <c r="AD264" s="22"/>
      <c r="AE264" s="22"/>
      <c r="AF264" s="22"/>
      <c r="AG264" s="22"/>
      <c r="AH264" s="22"/>
      <c r="AI264" s="22"/>
      <c r="AJ264" s="22"/>
      <c r="AK264" s="22"/>
      <c r="AL264" s="22"/>
      <c r="AM264" s="22"/>
      <c r="AN264" s="22"/>
      <c r="AO264" s="22"/>
      <c r="AP264" s="22"/>
      <c r="AQ264" s="22"/>
      <c r="AR264" s="22"/>
    </row>
    <row r="265" spans="1:44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  <c r="AA265" s="22"/>
      <c r="AB265" s="22"/>
      <c r="AC265" s="22"/>
      <c r="AD265" s="22"/>
      <c r="AE265" s="22"/>
      <c r="AF265" s="22"/>
      <c r="AG265" s="22"/>
      <c r="AH265" s="22"/>
      <c r="AI265" s="22"/>
      <c r="AJ265" s="22"/>
      <c r="AK265" s="22"/>
      <c r="AL265" s="22"/>
      <c r="AM265" s="22"/>
      <c r="AN265" s="22"/>
      <c r="AO265" s="22"/>
      <c r="AP265" s="22"/>
      <c r="AQ265" s="22"/>
      <c r="AR265" s="22"/>
    </row>
    <row r="266" spans="1:44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  <c r="AA266" s="22"/>
      <c r="AB266" s="22"/>
      <c r="AC266" s="22"/>
      <c r="AD266" s="22"/>
      <c r="AE266" s="22"/>
      <c r="AF266" s="22"/>
      <c r="AG266" s="22"/>
      <c r="AH266" s="22"/>
      <c r="AI266" s="22"/>
      <c r="AJ266" s="22"/>
      <c r="AK266" s="22"/>
      <c r="AL266" s="22"/>
      <c r="AM266" s="22"/>
      <c r="AN266" s="22"/>
      <c r="AO266" s="22"/>
      <c r="AP266" s="22"/>
      <c r="AQ266" s="22"/>
      <c r="AR266" s="22"/>
    </row>
    <row r="267" spans="1:44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  <c r="AA267" s="22"/>
      <c r="AB267" s="22"/>
      <c r="AC267" s="22"/>
      <c r="AD267" s="22"/>
      <c r="AE267" s="22"/>
      <c r="AF267" s="22"/>
      <c r="AG267" s="22"/>
      <c r="AH267" s="22"/>
      <c r="AI267" s="22"/>
      <c r="AJ267" s="22"/>
      <c r="AK267" s="22"/>
      <c r="AL267" s="22"/>
      <c r="AM267" s="22"/>
      <c r="AN267" s="22"/>
      <c r="AO267" s="22"/>
      <c r="AP267" s="22"/>
      <c r="AQ267" s="22"/>
      <c r="AR267" s="22"/>
    </row>
    <row r="268" spans="1:44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  <c r="AA268" s="22"/>
      <c r="AB268" s="22"/>
      <c r="AC268" s="22"/>
      <c r="AD268" s="22"/>
      <c r="AE268" s="22"/>
      <c r="AF268" s="22"/>
      <c r="AG268" s="22"/>
      <c r="AH268" s="22"/>
      <c r="AI268" s="22"/>
      <c r="AJ268" s="22"/>
      <c r="AK268" s="22"/>
      <c r="AL268" s="22"/>
      <c r="AM268" s="22"/>
      <c r="AN268" s="22"/>
      <c r="AO268" s="22"/>
      <c r="AP268" s="22"/>
      <c r="AQ268" s="22"/>
      <c r="AR268" s="22"/>
    </row>
    <row r="269" spans="1:44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  <c r="AA269" s="22"/>
      <c r="AB269" s="22"/>
      <c r="AC269" s="22"/>
      <c r="AD269" s="22"/>
      <c r="AE269" s="22"/>
      <c r="AF269" s="22"/>
      <c r="AG269" s="22"/>
      <c r="AH269" s="22"/>
      <c r="AI269" s="22"/>
      <c r="AJ269" s="22"/>
      <c r="AK269" s="22"/>
      <c r="AL269" s="22"/>
      <c r="AM269" s="22"/>
      <c r="AN269" s="22"/>
      <c r="AO269" s="22"/>
      <c r="AP269" s="22"/>
      <c r="AQ269" s="22"/>
      <c r="AR269" s="22"/>
    </row>
    <row r="270" spans="1:44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  <c r="AA270" s="22"/>
      <c r="AB270" s="22"/>
      <c r="AC270" s="22"/>
      <c r="AD270" s="22"/>
      <c r="AE270" s="22"/>
      <c r="AF270" s="22"/>
      <c r="AG270" s="22"/>
      <c r="AH270" s="22"/>
      <c r="AI270" s="22"/>
      <c r="AJ270" s="22"/>
      <c r="AK270" s="22"/>
      <c r="AL270" s="22"/>
      <c r="AM270" s="22"/>
      <c r="AN270" s="22"/>
      <c r="AO270" s="22"/>
      <c r="AP270" s="22"/>
      <c r="AQ270" s="22"/>
      <c r="AR270" s="22"/>
    </row>
    <row r="271" spans="1:44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  <c r="AA271" s="22"/>
      <c r="AB271" s="22"/>
      <c r="AC271" s="22"/>
      <c r="AD271" s="22"/>
      <c r="AE271" s="22"/>
      <c r="AF271" s="22"/>
      <c r="AG271" s="22"/>
      <c r="AH271" s="22"/>
      <c r="AI271" s="22"/>
      <c r="AJ271" s="22"/>
      <c r="AK271" s="22"/>
      <c r="AL271" s="22"/>
      <c r="AM271" s="22"/>
      <c r="AN271" s="22"/>
      <c r="AO271" s="22"/>
      <c r="AP271" s="22"/>
      <c r="AQ271" s="22"/>
      <c r="AR271" s="22"/>
    </row>
    <row r="272" spans="1:44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  <c r="AA272" s="22"/>
      <c r="AB272" s="22"/>
      <c r="AC272" s="22"/>
      <c r="AD272" s="22"/>
      <c r="AE272" s="22"/>
      <c r="AF272" s="22"/>
      <c r="AG272" s="22"/>
      <c r="AH272" s="22"/>
      <c r="AI272" s="22"/>
      <c r="AJ272" s="22"/>
      <c r="AK272" s="22"/>
      <c r="AL272" s="22"/>
      <c r="AM272" s="22"/>
      <c r="AN272" s="22"/>
      <c r="AO272" s="22"/>
      <c r="AP272" s="22"/>
      <c r="AQ272" s="22"/>
      <c r="AR272" s="22"/>
    </row>
    <row r="273" spans="1:44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  <c r="AA273" s="22"/>
      <c r="AB273" s="22"/>
      <c r="AC273" s="22"/>
      <c r="AD273" s="22"/>
      <c r="AE273" s="22"/>
      <c r="AF273" s="22"/>
      <c r="AG273" s="22"/>
      <c r="AH273" s="22"/>
      <c r="AI273" s="22"/>
      <c r="AJ273" s="22"/>
      <c r="AK273" s="22"/>
      <c r="AL273" s="22"/>
      <c r="AM273" s="22"/>
      <c r="AN273" s="22"/>
      <c r="AO273" s="22"/>
      <c r="AP273" s="22"/>
      <c r="AQ273" s="22"/>
      <c r="AR273" s="22"/>
    </row>
    <row r="274" spans="1:44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  <c r="AA274" s="22"/>
      <c r="AB274" s="22"/>
      <c r="AC274" s="22"/>
      <c r="AD274" s="22"/>
      <c r="AE274" s="22"/>
      <c r="AF274" s="22"/>
      <c r="AG274" s="22"/>
      <c r="AH274" s="22"/>
      <c r="AI274" s="22"/>
      <c r="AJ274" s="22"/>
      <c r="AK274" s="22"/>
      <c r="AL274" s="22"/>
      <c r="AM274" s="22"/>
      <c r="AN274" s="22"/>
      <c r="AO274" s="22"/>
      <c r="AP274" s="22"/>
      <c r="AQ274" s="22"/>
      <c r="AR274" s="22"/>
    </row>
    <row r="275" spans="1:44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  <c r="AA275" s="22"/>
      <c r="AB275" s="22"/>
      <c r="AC275" s="22"/>
      <c r="AD275" s="22"/>
      <c r="AE275" s="22"/>
      <c r="AF275" s="22"/>
      <c r="AG275" s="22"/>
      <c r="AH275" s="22"/>
      <c r="AI275" s="22"/>
      <c r="AJ275" s="22"/>
      <c r="AK275" s="22"/>
      <c r="AL275" s="22"/>
      <c r="AM275" s="22"/>
      <c r="AN275" s="22"/>
      <c r="AO275" s="22"/>
      <c r="AP275" s="22"/>
      <c r="AQ275" s="22"/>
      <c r="AR275" s="22"/>
    </row>
    <row r="276" spans="1:44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  <c r="AA276" s="22"/>
      <c r="AB276" s="22"/>
      <c r="AC276" s="22"/>
      <c r="AD276" s="22"/>
      <c r="AE276" s="22"/>
      <c r="AF276" s="22"/>
      <c r="AG276" s="22"/>
      <c r="AH276" s="22"/>
      <c r="AI276" s="22"/>
      <c r="AJ276" s="22"/>
      <c r="AK276" s="22"/>
      <c r="AL276" s="22"/>
      <c r="AM276" s="22"/>
      <c r="AN276" s="22"/>
      <c r="AO276" s="22"/>
      <c r="AP276" s="22"/>
      <c r="AQ276" s="22"/>
      <c r="AR276" s="22"/>
    </row>
    <row r="277" spans="1:44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  <c r="AA277" s="22"/>
      <c r="AB277" s="22"/>
      <c r="AC277" s="22"/>
      <c r="AD277" s="22"/>
      <c r="AE277" s="22"/>
      <c r="AF277" s="22"/>
      <c r="AG277" s="22"/>
      <c r="AH277" s="22"/>
      <c r="AI277" s="22"/>
      <c r="AJ277" s="22"/>
      <c r="AK277" s="22"/>
      <c r="AL277" s="22"/>
      <c r="AM277" s="22"/>
      <c r="AN277" s="22"/>
      <c r="AO277" s="22"/>
      <c r="AP277" s="22"/>
      <c r="AQ277" s="22"/>
      <c r="AR277" s="22"/>
    </row>
    <row r="278" spans="1:44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  <c r="AA278" s="22"/>
      <c r="AB278" s="22"/>
      <c r="AC278" s="22"/>
      <c r="AD278" s="22"/>
      <c r="AE278" s="22"/>
      <c r="AF278" s="22"/>
      <c r="AG278" s="22"/>
      <c r="AH278" s="22"/>
      <c r="AI278" s="22"/>
      <c r="AJ278" s="22"/>
      <c r="AK278" s="22"/>
      <c r="AL278" s="22"/>
      <c r="AM278" s="22"/>
      <c r="AN278" s="22"/>
      <c r="AO278" s="22"/>
      <c r="AP278" s="22"/>
      <c r="AQ278" s="22"/>
      <c r="AR278" s="22"/>
    </row>
    <row r="279" spans="1:44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  <c r="AA279" s="22"/>
      <c r="AB279" s="22"/>
      <c r="AC279" s="22"/>
      <c r="AD279" s="22"/>
      <c r="AE279" s="22"/>
      <c r="AF279" s="22"/>
      <c r="AG279" s="22"/>
      <c r="AH279" s="22"/>
      <c r="AI279" s="22"/>
      <c r="AJ279" s="22"/>
      <c r="AK279" s="22"/>
      <c r="AL279" s="22"/>
      <c r="AM279" s="22"/>
      <c r="AN279" s="22"/>
      <c r="AO279" s="22"/>
      <c r="AP279" s="22"/>
      <c r="AQ279" s="22"/>
      <c r="AR279" s="22"/>
    </row>
    <row r="280" spans="1:44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  <c r="AA280" s="22"/>
      <c r="AB280" s="22"/>
      <c r="AC280" s="22"/>
      <c r="AD280" s="22"/>
      <c r="AE280" s="22"/>
      <c r="AF280" s="22"/>
      <c r="AG280" s="22"/>
      <c r="AH280" s="22"/>
      <c r="AI280" s="22"/>
      <c r="AJ280" s="22"/>
      <c r="AK280" s="22"/>
      <c r="AL280" s="22"/>
      <c r="AM280" s="22"/>
      <c r="AN280" s="22"/>
      <c r="AO280" s="22"/>
      <c r="AP280" s="22"/>
      <c r="AQ280" s="22"/>
      <c r="AR280" s="22"/>
    </row>
    <row r="281" spans="1:44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  <c r="AA281" s="22"/>
      <c r="AB281" s="22"/>
      <c r="AC281" s="22"/>
      <c r="AD281" s="22"/>
      <c r="AE281" s="22"/>
      <c r="AF281" s="22"/>
      <c r="AG281" s="22"/>
      <c r="AH281" s="22"/>
      <c r="AI281" s="22"/>
      <c r="AJ281" s="22"/>
      <c r="AK281" s="22"/>
      <c r="AL281" s="22"/>
      <c r="AM281" s="22"/>
      <c r="AN281" s="22"/>
      <c r="AO281" s="22"/>
      <c r="AP281" s="22"/>
      <c r="AQ281" s="22"/>
      <c r="AR281" s="22"/>
    </row>
    <row r="282" spans="1:44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  <c r="AA282" s="22"/>
      <c r="AB282" s="22"/>
      <c r="AC282" s="22"/>
      <c r="AD282" s="22"/>
      <c r="AE282" s="22"/>
      <c r="AF282" s="22"/>
      <c r="AG282" s="22"/>
      <c r="AH282" s="22"/>
      <c r="AI282" s="22"/>
      <c r="AJ282" s="22"/>
      <c r="AK282" s="22"/>
      <c r="AL282" s="22"/>
      <c r="AM282" s="22"/>
      <c r="AN282" s="22"/>
      <c r="AO282" s="22"/>
      <c r="AP282" s="22"/>
      <c r="AQ282" s="22"/>
      <c r="AR282" s="22"/>
    </row>
    <row r="283" spans="1:44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  <c r="AA283" s="22"/>
      <c r="AB283" s="22"/>
      <c r="AC283" s="22"/>
      <c r="AD283" s="22"/>
      <c r="AE283" s="22"/>
      <c r="AF283" s="22"/>
      <c r="AG283" s="22"/>
      <c r="AH283" s="22"/>
      <c r="AI283" s="22"/>
      <c r="AJ283" s="22"/>
      <c r="AK283" s="22"/>
      <c r="AL283" s="22"/>
      <c r="AM283" s="22"/>
      <c r="AN283" s="22"/>
      <c r="AO283" s="22"/>
      <c r="AP283" s="22"/>
      <c r="AQ283" s="22"/>
      <c r="AR283" s="22"/>
    </row>
    <row r="284" spans="1:44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  <c r="AA284" s="22"/>
      <c r="AB284" s="22"/>
      <c r="AC284" s="22"/>
      <c r="AD284" s="22"/>
      <c r="AE284" s="22"/>
      <c r="AF284" s="22"/>
      <c r="AG284" s="22"/>
      <c r="AH284" s="22"/>
      <c r="AI284" s="22"/>
      <c r="AJ284" s="22"/>
      <c r="AK284" s="22"/>
      <c r="AL284" s="22"/>
      <c r="AM284" s="22"/>
      <c r="AN284" s="22"/>
      <c r="AO284" s="22"/>
      <c r="AP284" s="22"/>
      <c r="AQ284" s="22"/>
      <c r="AR284" s="22"/>
    </row>
    <row r="285" spans="1:44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  <c r="AA285" s="22"/>
      <c r="AB285" s="22"/>
      <c r="AC285" s="22"/>
      <c r="AD285" s="22"/>
      <c r="AE285" s="22"/>
      <c r="AF285" s="22"/>
      <c r="AG285" s="22"/>
      <c r="AH285" s="22"/>
      <c r="AI285" s="22"/>
      <c r="AJ285" s="22"/>
      <c r="AK285" s="22"/>
      <c r="AL285" s="22"/>
      <c r="AM285" s="22"/>
      <c r="AN285" s="22"/>
      <c r="AO285" s="22"/>
      <c r="AP285" s="22"/>
      <c r="AQ285" s="22"/>
      <c r="AR285" s="22"/>
    </row>
    <row r="286" spans="1:44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  <c r="AA286" s="22"/>
      <c r="AB286" s="22"/>
      <c r="AC286" s="22"/>
      <c r="AD286" s="22"/>
      <c r="AE286" s="22"/>
      <c r="AF286" s="22"/>
      <c r="AG286" s="22"/>
      <c r="AH286" s="22"/>
      <c r="AI286" s="22"/>
      <c r="AJ286" s="22"/>
      <c r="AK286" s="22"/>
      <c r="AL286" s="22"/>
      <c r="AM286" s="22"/>
      <c r="AN286" s="22"/>
      <c r="AO286" s="22"/>
      <c r="AP286" s="22"/>
      <c r="AQ286" s="22"/>
      <c r="AR286" s="22"/>
    </row>
    <row r="287" spans="1:44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  <c r="AA287" s="22"/>
      <c r="AB287" s="22"/>
      <c r="AC287" s="22"/>
      <c r="AD287" s="22"/>
      <c r="AE287" s="22"/>
      <c r="AF287" s="22"/>
      <c r="AG287" s="22"/>
      <c r="AH287" s="22"/>
      <c r="AI287" s="22"/>
      <c r="AJ287" s="22"/>
      <c r="AK287" s="22"/>
      <c r="AL287" s="22"/>
      <c r="AM287" s="22"/>
      <c r="AN287" s="22"/>
      <c r="AO287" s="22"/>
      <c r="AP287" s="22"/>
      <c r="AQ287" s="22"/>
      <c r="AR287" s="22"/>
    </row>
    <row r="288" spans="1:44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  <c r="AA288" s="22"/>
      <c r="AB288" s="22"/>
      <c r="AC288" s="22"/>
      <c r="AD288" s="22"/>
      <c r="AE288" s="22"/>
      <c r="AF288" s="22"/>
      <c r="AG288" s="22"/>
      <c r="AH288" s="22"/>
      <c r="AI288" s="22"/>
      <c r="AJ288" s="22"/>
      <c r="AK288" s="22"/>
      <c r="AL288" s="22"/>
      <c r="AM288" s="22"/>
      <c r="AN288" s="22"/>
      <c r="AO288" s="22"/>
      <c r="AP288" s="22"/>
      <c r="AQ288" s="22"/>
      <c r="AR288" s="22"/>
    </row>
    <row r="289" spans="1:44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  <c r="AA289" s="22"/>
      <c r="AB289" s="22"/>
      <c r="AC289" s="22"/>
      <c r="AD289" s="22"/>
      <c r="AE289" s="22"/>
      <c r="AF289" s="22"/>
      <c r="AG289" s="22"/>
      <c r="AH289" s="22"/>
      <c r="AI289" s="22"/>
      <c r="AJ289" s="22"/>
      <c r="AK289" s="22"/>
      <c r="AL289" s="22"/>
      <c r="AM289" s="22"/>
      <c r="AN289" s="22"/>
      <c r="AO289" s="22"/>
      <c r="AP289" s="22"/>
      <c r="AQ289" s="22"/>
      <c r="AR289" s="22"/>
    </row>
    <row r="290" spans="1:44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  <c r="AA290" s="22"/>
      <c r="AB290" s="22"/>
      <c r="AC290" s="22"/>
      <c r="AD290" s="22"/>
      <c r="AE290" s="22"/>
      <c r="AF290" s="22"/>
      <c r="AG290" s="22"/>
      <c r="AH290" s="22"/>
      <c r="AI290" s="22"/>
      <c r="AJ290" s="22"/>
      <c r="AK290" s="22"/>
      <c r="AL290" s="22"/>
      <c r="AM290" s="22"/>
      <c r="AN290" s="22"/>
      <c r="AO290" s="22"/>
      <c r="AP290" s="22"/>
      <c r="AQ290" s="22"/>
      <c r="AR290" s="22"/>
    </row>
    <row r="291" spans="1:44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  <c r="AA291" s="22"/>
      <c r="AB291" s="22"/>
      <c r="AC291" s="22"/>
      <c r="AD291" s="22"/>
      <c r="AE291" s="22"/>
      <c r="AF291" s="22"/>
      <c r="AG291" s="22"/>
      <c r="AH291" s="22"/>
      <c r="AI291" s="22"/>
      <c r="AJ291" s="22"/>
      <c r="AK291" s="22"/>
      <c r="AL291" s="22"/>
      <c r="AM291" s="22"/>
      <c r="AN291" s="22"/>
      <c r="AO291" s="22"/>
      <c r="AP291" s="22"/>
      <c r="AQ291" s="22"/>
      <c r="AR291" s="22"/>
    </row>
    <row r="292" spans="1:44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  <c r="AA292" s="22"/>
      <c r="AB292" s="22"/>
      <c r="AC292" s="22"/>
      <c r="AD292" s="22"/>
      <c r="AE292" s="22"/>
      <c r="AF292" s="22"/>
      <c r="AG292" s="22"/>
      <c r="AH292" s="22"/>
      <c r="AI292" s="22"/>
      <c r="AJ292" s="22"/>
      <c r="AK292" s="22"/>
      <c r="AL292" s="22"/>
      <c r="AM292" s="22"/>
      <c r="AN292" s="22"/>
      <c r="AO292" s="22"/>
      <c r="AP292" s="22"/>
      <c r="AQ292" s="22"/>
      <c r="AR292" s="22"/>
    </row>
    <row r="293" spans="1:44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  <c r="AA293" s="22"/>
      <c r="AB293" s="22"/>
      <c r="AC293" s="22"/>
      <c r="AD293" s="22"/>
      <c r="AE293" s="22"/>
      <c r="AF293" s="22"/>
      <c r="AG293" s="22"/>
      <c r="AH293" s="22"/>
      <c r="AI293" s="22"/>
      <c r="AJ293" s="22"/>
      <c r="AK293" s="22"/>
      <c r="AL293" s="22"/>
      <c r="AM293" s="22"/>
      <c r="AN293" s="22"/>
      <c r="AO293" s="22"/>
      <c r="AP293" s="22"/>
      <c r="AQ293" s="22"/>
      <c r="AR293" s="22"/>
    </row>
    <row r="294" spans="1:44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  <c r="AA294" s="22"/>
      <c r="AB294" s="22"/>
      <c r="AC294" s="22"/>
      <c r="AD294" s="22"/>
      <c r="AE294" s="22"/>
      <c r="AF294" s="22"/>
      <c r="AG294" s="22"/>
      <c r="AH294" s="22"/>
      <c r="AI294" s="22"/>
      <c r="AJ294" s="22"/>
      <c r="AK294" s="22"/>
      <c r="AL294" s="22"/>
      <c r="AM294" s="22"/>
      <c r="AN294" s="22"/>
      <c r="AO294" s="22"/>
      <c r="AP294" s="22"/>
      <c r="AQ294" s="22"/>
      <c r="AR294" s="22"/>
    </row>
    <row r="295" spans="1:44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  <c r="AA295" s="22"/>
      <c r="AB295" s="22"/>
      <c r="AC295" s="22"/>
      <c r="AD295" s="22"/>
      <c r="AE295" s="22"/>
      <c r="AF295" s="22"/>
      <c r="AG295" s="22"/>
      <c r="AH295" s="22"/>
      <c r="AI295" s="22"/>
      <c r="AJ295" s="22"/>
      <c r="AK295" s="22"/>
      <c r="AL295" s="22"/>
      <c r="AM295" s="22"/>
      <c r="AN295" s="22"/>
      <c r="AO295" s="22"/>
      <c r="AP295" s="22"/>
      <c r="AQ295" s="22"/>
      <c r="AR295" s="22"/>
    </row>
    <row r="296" spans="1:44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  <c r="AA296" s="22"/>
      <c r="AB296" s="22"/>
      <c r="AC296" s="22"/>
      <c r="AD296" s="22"/>
      <c r="AE296" s="22"/>
      <c r="AF296" s="22"/>
      <c r="AG296" s="22"/>
      <c r="AH296" s="22"/>
      <c r="AI296" s="22"/>
      <c r="AJ296" s="22"/>
      <c r="AK296" s="22"/>
      <c r="AL296" s="22"/>
      <c r="AM296" s="22"/>
      <c r="AN296" s="22"/>
      <c r="AO296" s="22"/>
      <c r="AP296" s="22"/>
      <c r="AQ296" s="22"/>
      <c r="AR296" s="22"/>
    </row>
    <row r="297" spans="1:44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  <c r="AA297" s="22"/>
      <c r="AB297" s="22"/>
      <c r="AC297" s="22"/>
      <c r="AD297" s="22"/>
      <c r="AE297" s="22"/>
      <c r="AF297" s="22"/>
      <c r="AG297" s="22"/>
      <c r="AH297" s="22"/>
      <c r="AI297" s="22"/>
      <c r="AJ297" s="22"/>
      <c r="AK297" s="22"/>
      <c r="AL297" s="22"/>
      <c r="AM297" s="22"/>
      <c r="AN297" s="22"/>
      <c r="AO297" s="22"/>
      <c r="AP297" s="22"/>
      <c r="AQ297" s="22"/>
      <c r="AR297" s="22"/>
    </row>
    <row r="298" spans="1:44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  <c r="AA298" s="22"/>
      <c r="AB298" s="22"/>
      <c r="AC298" s="22"/>
      <c r="AD298" s="22"/>
      <c r="AE298" s="22"/>
      <c r="AF298" s="22"/>
      <c r="AG298" s="22"/>
      <c r="AH298" s="22"/>
      <c r="AI298" s="22"/>
      <c r="AJ298" s="22"/>
      <c r="AK298" s="22"/>
      <c r="AL298" s="22"/>
      <c r="AM298" s="22"/>
      <c r="AN298" s="22"/>
      <c r="AO298" s="22"/>
      <c r="AP298" s="22"/>
      <c r="AQ298" s="22"/>
      <c r="AR298" s="22"/>
    </row>
    <row r="299" spans="1:44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  <c r="AA299" s="22"/>
      <c r="AB299" s="22"/>
      <c r="AC299" s="22"/>
      <c r="AD299" s="22"/>
      <c r="AE299" s="22"/>
      <c r="AF299" s="22"/>
      <c r="AG299" s="22"/>
      <c r="AH299" s="22"/>
      <c r="AI299" s="22"/>
      <c r="AJ299" s="22"/>
      <c r="AK299" s="22"/>
      <c r="AL299" s="22"/>
      <c r="AM299" s="22"/>
      <c r="AN299" s="22"/>
      <c r="AO299" s="22"/>
      <c r="AP299" s="22"/>
      <c r="AQ299" s="22"/>
      <c r="AR299" s="22"/>
    </row>
    <row r="300" spans="1:44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  <c r="AA300" s="22"/>
      <c r="AB300" s="22"/>
      <c r="AC300" s="22"/>
      <c r="AD300" s="22"/>
      <c r="AE300" s="22"/>
      <c r="AF300" s="22"/>
      <c r="AG300" s="22"/>
      <c r="AH300" s="22"/>
      <c r="AI300" s="22"/>
      <c r="AJ300" s="22"/>
      <c r="AK300" s="22"/>
      <c r="AL300" s="22"/>
      <c r="AM300" s="22"/>
      <c r="AN300" s="22"/>
      <c r="AO300" s="22"/>
      <c r="AP300" s="22"/>
      <c r="AQ300" s="22"/>
      <c r="AR300" s="22"/>
    </row>
    <row r="301" spans="1:44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  <c r="AA301" s="22"/>
      <c r="AB301" s="22"/>
      <c r="AC301" s="22"/>
      <c r="AD301" s="22"/>
      <c r="AE301" s="22"/>
      <c r="AF301" s="22"/>
      <c r="AG301" s="22"/>
      <c r="AH301" s="22"/>
      <c r="AI301" s="22"/>
      <c r="AJ301" s="22"/>
      <c r="AK301" s="22"/>
      <c r="AL301" s="22"/>
      <c r="AM301" s="22"/>
      <c r="AN301" s="22"/>
      <c r="AO301" s="22"/>
      <c r="AP301" s="22"/>
      <c r="AQ301" s="22"/>
      <c r="AR301" s="22"/>
    </row>
    <row r="302" spans="1:44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  <c r="AA302" s="22"/>
      <c r="AB302" s="22"/>
      <c r="AC302" s="22"/>
      <c r="AD302" s="22"/>
      <c r="AE302" s="22"/>
      <c r="AF302" s="22"/>
      <c r="AG302" s="22"/>
      <c r="AH302" s="22"/>
      <c r="AI302" s="22"/>
      <c r="AJ302" s="22"/>
      <c r="AK302" s="22"/>
      <c r="AL302" s="22"/>
      <c r="AM302" s="22"/>
      <c r="AN302" s="22"/>
      <c r="AO302" s="22"/>
      <c r="AP302" s="22"/>
      <c r="AQ302" s="22"/>
      <c r="AR302" s="22"/>
    </row>
    <row r="303" spans="1:44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  <c r="AA303" s="22"/>
      <c r="AB303" s="22"/>
      <c r="AC303" s="22"/>
      <c r="AD303" s="22"/>
      <c r="AE303" s="22"/>
      <c r="AF303" s="22"/>
      <c r="AG303" s="22"/>
      <c r="AH303" s="22"/>
      <c r="AI303" s="22"/>
      <c r="AJ303" s="22"/>
      <c r="AK303" s="22"/>
      <c r="AL303" s="22"/>
      <c r="AM303" s="22"/>
      <c r="AN303" s="22"/>
      <c r="AO303" s="22"/>
      <c r="AP303" s="22"/>
      <c r="AQ303" s="22"/>
      <c r="AR303" s="22"/>
    </row>
    <row r="304" spans="1:44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  <c r="AA304" s="22"/>
      <c r="AB304" s="22"/>
      <c r="AC304" s="22"/>
      <c r="AD304" s="22"/>
      <c r="AE304" s="22"/>
      <c r="AF304" s="22"/>
      <c r="AG304" s="22"/>
      <c r="AH304" s="22"/>
      <c r="AI304" s="22"/>
      <c r="AJ304" s="22"/>
      <c r="AK304" s="22"/>
      <c r="AL304" s="22"/>
      <c r="AM304" s="22"/>
      <c r="AN304" s="22"/>
      <c r="AO304" s="22"/>
      <c r="AP304" s="22"/>
      <c r="AQ304" s="22"/>
      <c r="AR304" s="22"/>
    </row>
    <row r="305" spans="1:44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  <c r="AA305" s="22"/>
      <c r="AB305" s="22"/>
      <c r="AC305" s="22"/>
      <c r="AD305" s="22"/>
      <c r="AE305" s="22"/>
      <c r="AF305" s="22"/>
      <c r="AG305" s="22"/>
      <c r="AH305" s="22"/>
      <c r="AI305" s="22"/>
      <c r="AJ305" s="22"/>
      <c r="AK305" s="22"/>
      <c r="AL305" s="22"/>
      <c r="AM305" s="22"/>
      <c r="AN305" s="22"/>
      <c r="AO305" s="22"/>
      <c r="AP305" s="22"/>
      <c r="AQ305" s="22"/>
      <c r="AR305" s="22"/>
    </row>
    <row r="306" spans="1:44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  <c r="AA306" s="22"/>
      <c r="AB306" s="22"/>
      <c r="AC306" s="22"/>
      <c r="AD306" s="22"/>
      <c r="AE306" s="22"/>
      <c r="AF306" s="22"/>
      <c r="AG306" s="22"/>
      <c r="AH306" s="22"/>
      <c r="AI306" s="22"/>
      <c r="AJ306" s="22"/>
      <c r="AK306" s="22"/>
      <c r="AL306" s="22"/>
      <c r="AM306" s="22"/>
      <c r="AN306" s="22"/>
      <c r="AO306" s="22"/>
      <c r="AP306" s="22"/>
      <c r="AQ306" s="22"/>
      <c r="AR306" s="22"/>
    </row>
    <row r="307" spans="1:44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  <c r="AA307" s="22"/>
      <c r="AB307" s="22"/>
      <c r="AC307" s="22"/>
      <c r="AD307" s="22"/>
      <c r="AE307" s="22"/>
      <c r="AF307" s="22"/>
      <c r="AG307" s="22"/>
      <c r="AH307" s="22"/>
      <c r="AI307" s="22"/>
      <c r="AJ307" s="22"/>
      <c r="AK307" s="22"/>
      <c r="AL307" s="22"/>
      <c r="AM307" s="22"/>
      <c r="AN307" s="22"/>
      <c r="AO307" s="22"/>
      <c r="AP307" s="22"/>
      <c r="AQ307" s="22"/>
      <c r="AR307" s="22"/>
    </row>
    <row r="308" spans="1:44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  <c r="AA308" s="22"/>
      <c r="AB308" s="22"/>
      <c r="AC308" s="22"/>
      <c r="AD308" s="22"/>
      <c r="AE308" s="22"/>
      <c r="AF308" s="22"/>
      <c r="AG308" s="22"/>
      <c r="AH308" s="22"/>
      <c r="AI308" s="22"/>
      <c r="AJ308" s="22"/>
      <c r="AK308" s="22"/>
      <c r="AL308" s="22"/>
      <c r="AM308" s="22"/>
      <c r="AN308" s="22"/>
      <c r="AO308" s="22"/>
      <c r="AP308" s="22"/>
      <c r="AQ308" s="22"/>
      <c r="AR308" s="22"/>
    </row>
    <row r="309" spans="1:44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  <c r="AA309" s="22"/>
      <c r="AB309" s="22"/>
      <c r="AC309" s="22"/>
      <c r="AD309" s="22"/>
      <c r="AE309" s="22"/>
      <c r="AF309" s="22"/>
      <c r="AG309" s="22"/>
      <c r="AH309" s="22"/>
      <c r="AI309" s="22"/>
      <c r="AJ309" s="22"/>
      <c r="AK309" s="22"/>
      <c r="AL309" s="22"/>
      <c r="AM309" s="22"/>
      <c r="AN309" s="22"/>
      <c r="AO309" s="22"/>
      <c r="AP309" s="22"/>
      <c r="AQ309" s="22"/>
      <c r="AR309" s="22"/>
    </row>
    <row r="310" spans="1:44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  <c r="AA310" s="22"/>
      <c r="AB310" s="22"/>
      <c r="AC310" s="22"/>
      <c r="AD310" s="22"/>
      <c r="AE310" s="22"/>
      <c r="AF310" s="22"/>
      <c r="AG310" s="22"/>
      <c r="AH310" s="22"/>
      <c r="AI310" s="22"/>
      <c r="AJ310" s="22"/>
      <c r="AK310" s="22"/>
      <c r="AL310" s="22"/>
      <c r="AM310" s="22"/>
      <c r="AN310" s="22"/>
      <c r="AO310" s="22"/>
      <c r="AP310" s="22"/>
      <c r="AQ310" s="22"/>
      <c r="AR310" s="22"/>
    </row>
    <row r="311" spans="1:44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  <c r="AA311" s="22"/>
      <c r="AB311" s="22"/>
      <c r="AC311" s="22"/>
      <c r="AD311" s="22"/>
      <c r="AE311" s="22"/>
      <c r="AF311" s="22"/>
      <c r="AG311" s="22"/>
      <c r="AH311" s="22"/>
      <c r="AI311" s="22"/>
      <c r="AJ311" s="22"/>
      <c r="AK311" s="22"/>
      <c r="AL311" s="22"/>
      <c r="AM311" s="22"/>
      <c r="AN311" s="22"/>
      <c r="AO311" s="22"/>
      <c r="AP311" s="22"/>
      <c r="AQ311" s="22"/>
      <c r="AR311" s="22"/>
    </row>
    <row r="312" spans="1:44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  <c r="AA312" s="22"/>
      <c r="AB312" s="22"/>
      <c r="AC312" s="22"/>
      <c r="AD312" s="22"/>
      <c r="AE312" s="22"/>
      <c r="AF312" s="22"/>
      <c r="AG312" s="22"/>
      <c r="AH312" s="22"/>
      <c r="AI312" s="22"/>
      <c r="AJ312" s="22"/>
      <c r="AK312" s="22"/>
      <c r="AL312" s="22"/>
      <c r="AM312" s="22"/>
      <c r="AN312" s="22"/>
      <c r="AO312" s="22"/>
      <c r="AP312" s="22"/>
      <c r="AQ312" s="22"/>
      <c r="AR312" s="22"/>
    </row>
    <row r="313" spans="1:44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  <c r="AA313" s="22"/>
      <c r="AB313" s="22"/>
      <c r="AC313" s="22"/>
      <c r="AD313" s="22"/>
      <c r="AE313" s="22"/>
      <c r="AF313" s="22"/>
      <c r="AG313" s="22"/>
      <c r="AH313" s="22"/>
      <c r="AI313" s="22"/>
      <c r="AJ313" s="22"/>
      <c r="AK313" s="22"/>
      <c r="AL313" s="22"/>
      <c r="AM313" s="22"/>
      <c r="AN313" s="22"/>
      <c r="AO313" s="22"/>
      <c r="AP313" s="22"/>
      <c r="AQ313" s="22"/>
      <c r="AR313" s="22"/>
    </row>
    <row r="314" spans="1:44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  <c r="AA314" s="22"/>
      <c r="AB314" s="22"/>
      <c r="AC314" s="22"/>
      <c r="AD314" s="22"/>
      <c r="AE314" s="22"/>
      <c r="AF314" s="22"/>
      <c r="AG314" s="22"/>
      <c r="AH314" s="22"/>
      <c r="AI314" s="22"/>
      <c r="AJ314" s="22"/>
      <c r="AK314" s="22"/>
      <c r="AL314" s="22"/>
      <c r="AM314" s="22"/>
      <c r="AN314" s="22"/>
      <c r="AO314" s="22"/>
      <c r="AP314" s="22"/>
      <c r="AQ314" s="22"/>
      <c r="AR314" s="22"/>
    </row>
    <row r="315" spans="1:44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  <c r="AA315" s="22"/>
      <c r="AB315" s="22"/>
      <c r="AC315" s="22"/>
      <c r="AD315" s="22"/>
      <c r="AE315" s="22"/>
      <c r="AF315" s="22"/>
      <c r="AG315" s="22"/>
      <c r="AH315" s="22"/>
      <c r="AI315" s="22"/>
      <c r="AJ315" s="22"/>
      <c r="AK315" s="22"/>
      <c r="AL315" s="22"/>
      <c r="AM315" s="22"/>
      <c r="AN315" s="22"/>
      <c r="AO315" s="22"/>
      <c r="AP315" s="22"/>
      <c r="AQ315" s="22"/>
      <c r="AR315" s="22"/>
    </row>
    <row r="316" spans="1:44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  <c r="AA316" s="22"/>
      <c r="AB316" s="22"/>
      <c r="AC316" s="22"/>
      <c r="AD316" s="22"/>
      <c r="AE316" s="22"/>
      <c r="AF316" s="22"/>
      <c r="AG316" s="22"/>
      <c r="AH316" s="22"/>
      <c r="AI316" s="22"/>
      <c r="AJ316" s="22"/>
      <c r="AK316" s="22"/>
      <c r="AL316" s="22"/>
      <c r="AM316" s="22"/>
      <c r="AN316" s="22"/>
      <c r="AO316" s="22"/>
      <c r="AP316" s="22"/>
      <c r="AQ316" s="22"/>
      <c r="AR316" s="22"/>
    </row>
    <row r="317" spans="1:44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  <c r="AA317" s="22"/>
      <c r="AB317" s="22"/>
      <c r="AC317" s="22"/>
      <c r="AD317" s="22"/>
      <c r="AE317" s="22"/>
      <c r="AF317" s="22"/>
      <c r="AG317" s="22"/>
      <c r="AH317" s="22"/>
      <c r="AI317" s="22"/>
      <c r="AJ317" s="22"/>
      <c r="AK317" s="22"/>
      <c r="AL317" s="22"/>
      <c r="AM317" s="22"/>
      <c r="AN317" s="22"/>
      <c r="AO317" s="22"/>
      <c r="AP317" s="22"/>
      <c r="AQ317" s="22"/>
      <c r="AR317" s="22"/>
    </row>
    <row r="318" spans="1:44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  <c r="AA318" s="22"/>
      <c r="AB318" s="22"/>
      <c r="AC318" s="22"/>
      <c r="AD318" s="22"/>
      <c r="AE318" s="22"/>
      <c r="AF318" s="22"/>
      <c r="AG318" s="22"/>
      <c r="AH318" s="22"/>
      <c r="AI318" s="22"/>
      <c r="AJ318" s="22"/>
      <c r="AK318" s="22"/>
      <c r="AL318" s="22"/>
      <c r="AM318" s="22"/>
      <c r="AN318" s="22"/>
      <c r="AO318" s="22"/>
      <c r="AP318" s="22"/>
      <c r="AQ318" s="22"/>
      <c r="AR318" s="22"/>
    </row>
    <row r="319" spans="1:44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  <c r="AA319" s="22"/>
      <c r="AB319" s="22"/>
      <c r="AC319" s="22"/>
      <c r="AD319" s="22"/>
      <c r="AE319" s="22"/>
      <c r="AF319" s="22"/>
      <c r="AG319" s="22"/>
      <c r="AH319" s="22"/>
      <c r="AI319" s="22"/>
      <c r="AJ319" s="22"/>
      <c r="AK319" s="22"/>
      <c r="AL319" s="22"/>
      <c r="AM319" s="22"/>
      <c r="AN319" s="22"/>
      <c r="AO319" s="22"/>
      <c r="AP319" s="22"/>
      <c r="AQ319" s="22"/>
      <c r="AR319" s="22"/>
    </row>
    <row r="320" spans="1:44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  <c r="AA320" s="22"/>
      <c r="AB320" s="22"/>
      <c r="AC320" s="22"/>
      <c r="AD320" s="22"/>
      <c r="AE320" s="22"/>
      <c r="AF320" s="22"/>
      <c r="AG320" s="22"/>
      <c r="AH320" s="22"/>
      <c r="AI320" s="22"/>
      <c r="AJ320" s="22"/>
      <c r="AK320" s="22"/>
      <c r="AL320" s="22"/>
      <c r="AM320" s="22"/>
      <c r="AN320" s="22"/>
      <c r="AO320" s="22"/>
      <c r="AP320" s="22"/>
      <c r="AQ320" s="22"/>
      <c r="AR320" s="22"/>
    </row>
    <row r="321" spans="1:44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  <c r="AA321" s="22"/>
      <c r="AB321" s="22"/>
      <c r="AC321" s="22"/>
      <c r="AD321" s="22"/>
      <c r="AE321" s="22"/>
      <c r="AF321" s="22"/>
      <c r="AG321" s="22"/>
      <c r="AH321" s="22"/>
      <c r="AI321" s="22"/>
      <c r="AJ321" s="22"/>
      <c r="AK321" s="22"/>
      <c r="AL321" s="22"/>
      <c r="AM321" s="22"/>
      <c r="AN321" s="22"/>
      <c r="AO321" s="22"/>
      <c r="AP321" s="22"/>
      <c r="AQ321" s="22"/>
      <c r="AR321" s="22"/>
    </row>
    <row r="322" spans="1:44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  <c r="AA322" s="22"/>
      <c r="AB322" s="22"/>
      <c r="AC322" s="22"/>
      <c r="AD322" s="22"/>
      <c r="AE322" s="22"/>
      <c r="AF322" s="22"/>
      <c r="AG322" s="22"/>
      <c r="AH322" s="22"/>
      <c r="AI322" s="22"/>
      <c r="AJ322" s="22"/>
      <c r="AK322" s="22"/>
      <c r="AL322" s="22"/>
      <c r="AM322" s="22"/>
      <c r="AN322" s="22"/>
      <c r="AO322" s="22"/>
      <c r="AP322" s="22"/>
      <c r="AQ322" s="22"/>
      <c r="AR322" s="22"/>
    </row>
    <row r="323" spans="1:44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  <c r="AA323" s="22"/>
      <c r="AB323" s="22"/>
      <c r="AC323" s="22"/>
      <c r="AD323" s="22"/>
      <c r="AE323" s="22"/>
      <c r="AF323" s="22"/>
      <c r="AG323" s="22"/>
      <c r="AH323" s="22"/>
      <c r="AI323" s="22"/>
      <c r="AJ323" s="22"/>
      <c r="AK323" s="22"/>
      <c r="AL323" s="22"/>
      <c r="AM323" s="22"/>
      <c r="AN323" s="22"/>
      <c r="AO323" s="22"/>
      <c r="AP323" s="22"/>
      <c r="AQ323" s="22"/>
      <c r="AR323" s="22"/>
    </row>
    <row r="324" spans="1:44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  <c r="AA324" s="22"/>
      <c r="AB324" s="22"/>
      <c r="AC324" s="22"/>
      <c r="AD324" s="22"/>
      <c r="AE324" s="22"/>
      <c r="AF324" s="22"/>
      <c r="AG324" s="22"/>
      <c r="AH324" s="22"/>
      <c r="AI324" s="22"/>
      <c r="AJ324" s="22"/>
      <c r="AK324" s="22"/>
      <c r="AL324" s="22"/>
      <c r="AM324" s="22"/>
      <c r="AN324" s="22"/>
      <c r="AO324" s="22"/>
      <c r="AP324" s="22"/>
      <c r="AQ324" s="22"/>
      <c r="AR324" s="22"/>
    </row>
    <row r="325" spans="1:44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  <c r="AA325" s="22"/>
      <c r="AB325" s="22"/>
      <c r="AC325" s="22"/>
      <c r="AD325" s="22"/>
      <c r="AE325" s="22"/>
      <c r="AF325" s="22"/>
      <c r="AG325" s="22"/>
      <c r="AH325" s="22"/>
      <c r="AI325" s="22"/>
      <c r="AJ325" s="22"/>
      <c r="AK325" s="22"/>
      <c r="AL325" s="22"/>
      <c r="AM325" s="22"/>
      <c r="AN325" s="22"/>
      <c r="AO325" s="22"/>
      <c r="AP325" s="22"/>
      <c r="AQ325" s="22"/>
      <c r="AR325" s="22"/>
    </row>
    <row r="326" spans="1:44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  <c r="AA326" s="22"/>
      <c r="AB326" s="22"/>
      <c r="AC326" s="22"/>
      <c r="AD326" s="22"/>
      <c r="AE326" s="22"/>
      <c r="AF326" s="22"/>
      <c r="AG326" s="22"/>
      <c r="AH326" s="22"/>
      <c r="AI326" s="22"/>
      <c r="AJ326" s="22"/>
      <c r="AK326" s="22"/>
      <c r="AL326" s="22"/>
      <c r="AM326" s="22"/>
      <c r="AN326" s="22"/>
      <c r="AO326" s="22"/>
      <c r="AP326" s="22"/>
      <c r="AQ326" s="22"/>
      <c r="AR326" s="22"/>
    </row>
    <row r="327" spans="1:44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  <c r="AA327" s="22"/>
      <c r="AB327" s="22"/>
      <c r="AC327" s="22"/>
      <c r="AD327" s="22"/>
      <c r="AE327" s="22"/>
      <c r="AF327" s="22"/>
      <c r="AG327" s="22"/>
      <c r="AH327" s="22"/>
      <c r="AI327" s="22"/>
      <c r="AJ327" s="22"/>
      <c r="AK327" s="22"/>
      <c r="AL327" s="22"/>
      <c r="AM327" s="22"/>
      <c r="AN327" s="22"/>
      <c r="AO327" s="22"/>
      <c r="AP327" s="22"/>
      <c r="AQ327" s="22"/>
      <c r="AR327" s="22"/>
    </row>
    <row r="328" spans="1:44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  <c r="AA328" s="22"/>
      <c r="AB328" s="22"/>
      <c r="AC328" s="22"/>
      <c r="AD328" s="22"/>
      <c r="AE328" s="22"/>
      <c r="AF328" s="22"/>
      <c r="AG328" s="22"/>
      <c r="AH328" s="22"/>
      <c r="AI328" s="22"/>
      <c r="AJ328" s="22"/>
      <c r="AK328" s="22"/>
      <c r="AL328" s="22"/>
      <c r="AM328" s="22"/>
      <c r="AN328" s="22"/>
      <c r="AO328" s="22"/>
      <c r="AP328" s="22"/>
      <c r="AQ328" s="22"/>
      <c r="AR328" s="22"/>
    </row>
    <row r="329" spans="1:44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  <c r="AA329" s="22"/>
      <c r="AB329" s="22"/>
      <c r="AC329" s="22"/>
      <c r="AD329" s="22"/>
      <c r="AE329" s="22"/>
      <c r="AF329" s="22"/>
      <c r="AG329" s="22"/>
      <c r="AH329" s="22"/>
      <c r="AI329" s="22"/>
      <c r="AJ329" s="22"/>
      <c r="AK329" s="22"/>
      <c r="AL329" s="22"/>
      <c r="AM329" s="22"/>
      <c r="AN329" s="22"/>
      <c r="AO329" s="22"/>
      <c r="AP329" s="22"/>
      <c r="AQ329" s="22"/>
      <c r="AR329" s="22"/>
    </row>
    <row r="330" spans="1:44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  <c r="AA330" s="22"/>
      <c r="AB330" s="22"/>
      <c r="AC330" s="22"/>
      <c r="AD330" s="22"/>
      <c r="AE330" s="22"/>
      <c r="AF330" s="22"/>
      <c r="AG330" s="22"/>
      <c r="AH330" s="22"/>
      <c r="AI330" s="22"/>
      <c r="AJ330" s="22"/>
      <c r="AK330" s="22"/>
      <c r="AL330" s="22"/>
      <c r="AM330" s="22"/>
      <c r="AN330" s="22"/>
      <c r="AO330" s="22"/>
      <c r="AP330" s="22"/>
      <c r="AQ330" s="22"/>
      <c r="AR330" s="22"/>
    </row>
    <row r="331" spans="1:44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  <c r="AA331" s="22"/>
      <c r="AB331" s="22"/>
      <c r="AC331" s="22"/>
      <c r="AD331" s="22"/>
      <c r="AE331" s="22"/>
      <c r="AF331" s="22"/>
      <c r="AG331" s="22"/>
      <c r="AH331" s="22"/>
      <c r="AI331" s="22"/>
      <c r="AJ331" s="22"/>
      <c r="AK331" s="22"/>
      <c r="AL331" s="22"/>
      <c r="AM331" s="22"/>
      <c r="AN331" s="22"/>
      <c r="AO331" s="22"/>
      <c r="AP331" s="22"/>
      <c r="AQ331" s="22"/>
      <c r="AR331" s="22"/>
    </row>
    <row r="332" spans="1:44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  <c r="AA332" s="22"/>
      <c r="AB332" s="22"/>
      <c r="AC332" s="22"/>
      <c r="AD332" s="22"/>
      <c r="AE332" s="22"/>
      <c r="AF332" s="22"/>
      <c r="AG332" s="22"/>
      <c r="AH332" s="22"/>
      <c r="AI332" s="22"/>
      <c r="AJ332" s="22"/>
      <c r="AK332" s="22"/>
      <c r="AL332" s="22"/>
      <c r="AM332" s="22"/>
      <c r="AN332" s="22"/>
      <c r="AO332" s="22"/>
      <c r="AP332" s="22"/>
      <c r="AQ332" s="22"/>
      <c r="AR332" s="22"/>
    </row>
    <row r="333" spans="1:44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  <c r="AA333" s="22"/>
      <c r="AB333" s="22"/>
      <c r="AC333" s="22"/>
      <c r="AD333" s="22"/>
      <c r="AE333" s="22"/>
      <c r="AF333" s="22"/>
      <c r="AG333" s="22"/>
      <c r="AH333" s="22"/>
      <c r="AI333" s="22"/>
      <c r="AJ333" s="22"/>
      <c r="AK333" s="22"/>
      <c r="AL333" s="22"/>
      <c r="AM333" s="22"/>
      <c r="AN333" s="22"/>
      <c r="AO333" s="22"/>
      <c r="AP333" s="22"/>
      <c r="AQ333" s="22"/>
      <c r="AR333" s="22"/>
    </row>
    <row r="334" spans="1:44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  <c r="AA334" s="22"/>
      <c r="AB334" s="22"/>
      <c r="AC334" s="22"/>
      <c r="AD334" s="22"/>
      <c r="AE334" s="22"/>
      <c r="AF334" s="22"/>
      <c r="AG334" s="22"/>
      <c r="AH334" s="22"/>
      <c r="AI334" s="22"/>
      <c r="AJ334" s="22"/>
      <c r="AK334" s="22"/>
      <c r="AL334" s="22"/>
      <c r="AM334" s="22"/>
      <c r="AN334" s="22"/>
      <c r="AO334" s="22"/>
      <c r="AP334" s="22"/>
      <c r="AQ334" s="22"/>
      <c r="AR334" s="22"/>
    </row>
    <row r="335" spans="1:44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  <c r="AA335" s="22"/>
      <c r="AB335" s="22"/>
      <c r="AC335" s="22"/>
      <c r="AD335" s="22"/>
      <c r="AE335" s="22"/>
      <c r="AF335" s="22"/>
      <c r="AG335" s="22"/>
      <c r="AH335" s="22"/>
      <c r="AI335" s="22"/>
      <c r="AJ335" s="22"/>
      <c r="AK335" s="22"/>
      <c r="AL335" s="22"/>
      <c r="AM335" s="22"/>
      <c r="AN335" s="22"/>
      <c r="AO335" s="22"/>
      <c r="AP335" s="22"/>
      <c r="AQ335" s="22"/>
      <c r="AR335" s="22"/>
    </row>
    <row r="336" spans="1:44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  <c r="AA336" s="22"/>
      <c r="AB336" s="22"/>
      <c r="AC336" s="22"/>
      <c r="AD336" s="22"/>
      <c r="AE336" s="22"/>
      <c r="AF336" s="22"/>
      <c r="AG336" s="22"/>
      <c r="AH336" s="22"/>
      <c r="AI336" s="22"/>
      <c r="AJ336" s="22"/>
      <c r="AK336" s="22"/>
      <c r="AL336" s="22"/>
      <c r="AM336" s="22"/>
      <c r="AN336" s="22"/>
      <c r="AO336" s="22"/>
      <c r="AP336" s="22"/>
      <c r="AQ336" s="22"/>
      <c r="AR336" s="22"/>
    </row>
    <row r="337" spans="1:44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  <c r="AA337" s="22"/>
      <c r="AB337" s="22"/>
      <c r="AC337" s="22"/>
      <c r="AD337" s="22"/>
      <c r="AE337" s="22"/>
      <c r="AF337" s="22"/>
      <c r="AG337" s="22"/>
      <c r="AH337" s="22"/>
      <c r="AI337" s="22"/>
      <c r="AJ337" s="22"/>
      <c r="AK337" s="22"/>
      <c r="AL337" s="22"/>
      <c r="AM337" s="22"/>
      <c r="AN337" s="22"/>
      <c r="AO337" s="22"/>
      <c r="AP337" s="22"/>
      <c r="AQ337" s="22"/>
      <c r="AR337" s="22"/>
    </row>
  </sheetData>
  <mergeCells count="7">
    <mergeCell ref="A61:I62"/>
    <mergeCell ref="A5:J6"/>
    <mergeCell ref="A18:J19"/>
    <mergeCell ref="A25:J26"/>
    <mergeCell ref="A23:J24"/>
    <mergeCell ref="A30:J31"/>
    <mergeCell ref="A16:J17"/>
  </mergeCells>
  <printOptions horizontalCentered="1"/>
  <pageMargins left="0.75" right="0.75" top="1" bottom="1" header="0.5" footer="0.5"/>
  <pageSetup scale="76" firstPageNumber="2" orientation="portrait" horizontalDpi="4294967292" verticalDpi="4294967292" r:id="rId1"/>
  <headerFooter alignWithMargins="0">
    <oddFooter>&amp;LScot Chambers
&amp;D&amp;CPage _____&amp;R&amp;F
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2"/>
  <sheetViews>
    <sheetView showGridLines="0" workbookViewId="0"/>
  </sheetViews>
  <sheetFormatPr defaultRowHeight="12.75"/>
  <sheetData>
    <row r="1" spans="1:1">
      <c r="A1" s="438" t="str">
        <f>'Table of Contents'!A1</f>
        <v>City of Austin 4 x LM6000 Power Project</v>
      </c>
    </row>
    <row r="2" spans="1:1">
      <c r="A2" s="11" t="s">
        <v>566</v>
      </c>
    </row>
  </sheetData>
  <pageMargins left="0.75" right="0.75" top="1" bottom="1" header="0.5" footer="0.5"/>
  <pageSetup orientation="portrait" horizontalDpi="300" verticalDpi="300" r:id="rId1"/>
  <headerFooter alignWithMargins="0">
    <oddFooter>&amp;LScot Chambers
&amp;D&amp;R&amp;F
&amp;A</oddFooter>
  </headerFooter>
  <drawing r:id="rId2"/>
  <legacyDrawing r:id="rId3"/>
  <oleObjects>
    <mc:AlternateContent xmlns:mc="http://schemas.openxmlformats.org/markup-compatibility/2006">
      <mc:Choice Requires="x14">
        <oleObject progId="MSPhotoEd.3" shapeId="1025" r:id="rId4">
          <objectPr defaultSize="0" autoPict="0" r:id="rId5">
            <anchor moveWithCells="1">
              <from>
                <xdr:col>0</xdr:col>
                <xdr:colOff>0</xdr:colOff>
                <xdr:row>3</xdr:row>
                <xdr:rowOff>0</xdr:rowOff>
              </from>
              <to>
                <xdr:col>6</xdr:col>
                <xdr:colOff>171450</xdr:colOff>
                <xdr:row>26</xdr:row>
                <xdr:rowOff>66675</xdr:rowOff>
              </to>
            </anchor>
          </objectPr>
        </oleObject>
      </mc:Choice>
      <mc:Fallback>
        <oleObject progId="MSPhotoEd.3" shapeId="1025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903"/>
  <sheetViews>
    <sheetView topLeftCell="A11" zoomScale="80" workbookViewId="0">
      <selection activeCell="C60" sqref="C60"/>
    </sheetView>
  </sheetViews>
  <sheetFormatPr defaultRowHeight="12.75"/>
  <cols>
    <col min="1" max="1" width="4.7109375" style="73" customWidth="1"/>
    <col min="2" max="2" width="46.28515625" style="73" customWidth="1"/>
    <col min="3" max="3" width="9.140625" style="73"/>
    <col min="4" max="4" width="3.28515625" style="73" customWidth="1"/>
    <col min="5" max="5" width="11.140625" style="73" customWidth="1"/>
    <col min="6" max="8" width="11.28515625" style="73" customWidth="1"/>
    <col min="9" max="9" width="16" style="73" bestFit="1" customWidth="1"/>
    <col min="10" max="10" width="14.42578125" style="73" bestFit="1" customWidth="1"/>
    <col min="11" max="11" width="14.85546875" style="73" bestFit="1" customWidth="1"/>
    <col min="12" max="12" width="14.42578125" style="73" bestFit="1" customWidth="1"/>
    <col min="13" max="13" width="9.140625" style="73"/>
    <col min="14" max="16384" width="9.140625" style="74"/>
  </cols>
  <sheetData>
    <row r="1" spans="1:13" s="34" customFormat="1" ht="15.75">
      <c r="A1" s="461" t="str">
        <f>Scope!A1</f>
        <v>City of Austin 4 x LM6000 Power Project</v>
      </c>
      <c r="B1" s="461"/>
      <c r="C1" s="461"/>
      <c r="D1" s="461"/>
      <c r="E1" s="461"/>
      <c r="F1" s="461"/>
      <c r="G1" s="461"/>
      <c r="H1" s="461"/>
      <c r="I1" s="461"/>
    </row>
    <row r="2" spans="1:13" s="34" customFormat="1" ht="15.75">
      <c r="A2" s="461" t="s">
        <v>638</v>
      </c>
      <c r="B2" s="461"/>
      <c r="C2" s="461"/>
      <c r="D2" s="461"/>
      <c r="E2" s="461"/>
      <c r="F2" s="461"/>
      <c r="G2" s="461"/>
      <c r="H2" s="461"/>
      <c r="I2" s="461"/>
    </row>
    <row r="3" spans="1:13" s="34" customFormat="1" ht="15.75">
      <c r="A3" s="461" t="s">
        <v>757</v>
      </c>
      <c r="B3" s="461"/>
      <c r="C3" s="461"/>
      <c r="D3" s="461"/>
      <c r="E3" s="461"/>
      <c r="F3" s="461"/>
      <c r="G3" s="461"/>
      <c r="H3" s="461"/>
      <c r="I3" s="461"/>
    </row>
    <row r="4" spans="1:13" s="34" customFormat="1" ht="15.75">
      <c r="A4" s="4"/>
      <c r="B4" s="4"/>
      <c r="C4" s="4"/>
      <c r="D4" s="4"/>
      <c r="E4" s="4"/>
      <c r="F4" s="4"/>
      <c r="G4" s="4"/>
      <c r="H4" s="4"/>
    </row>
    <row r="5" spans="1:13" s="34" customFormat="1" ht="16.5" thickBot="1">
      <c r="A5" s="35" t="s">
        <v>758</v>
      </c>
      <c r="E5" s="36"/>
    </row>
    <row r="6" spans="1:13" s="34" customFormat="1" ht="13.5" thickBot="1">
      <c r="B6" s="37"/>
      <c r="C6" s="38"/>
      <c r="D6" s="37"/>
      <c r="E6" s="39" t="s">
        <v>759</v>
      </c>
      <c r="F6" s="37"/>
      <c r="G6" s="39" t="s">
        <v>327</v>
      </c>
    </row>
    <row r="7" spans="1:13" s="34" customFormat="1">
      <c r="A7" s="40" t="s">
        <v>760</v>
      </c>
      <c r="B7" s="41"/>
      <c r="C7" s="42"/>
      <c r="D7" s="41"/>
      <c r="E7" s="43"/>
      <c r="F7" s="3"/>
      <c r="G7" s="43"/>
      <c r="H7" s="3"/>
      <c r="I7" s="3"/>
      <c r="J7" s="3"/>
    </row>
    <row r="8" spans="1:13" s="34" customFormat="1">
      <c r="A8" s="40"/>
      <c r="B8" s="41" t="s">
        <v>761</v>
      </c>
      <c r="C8" s="41"/>
      <c r="D8" s="41"/>
      <c r="E8" s="44">
        <f>Mob_Estimate!D6</f>
        <v>0</v>
      </c>
      <c r="F8" s="45"/>
      <c r="G8" s="44"/>
      <c r="H8" s="3"/>
      <c r="I8" s="3"/>
      <c r="J8" s="3"/>
    </row>
    <row r="9" spans="1:13" s="34" customFormat="1">
      <c r="A9" s="40"/>
      <c r="B9" s="41" t="s">
        <v>762</v>
      </c>
      <c r="C9" s="41"/>
      <c r="D9" s="41"/>
      <c r="E9" s="44">
        <f>Mob_Estimate!D8</f>
        <v>117282.88608738461</v>
      </c>
      <c r="F9" s="45"/>
      <c r="G9" s="44"/>
      <c r="H9" s="3"/>
      <c r="I9" s="3"/>
      <c r="J9" s="3"/>
    </row>
    <row r="10" spans="1:13" s="34" customFormat="1">
      <c r="A10" s="3"/>
      <c r="B10" s="41" t="s">
        <v>763</v>
      </c>
      <c r="C10" s="41"/>
      <c r="D10" s="41"/>
      <c r="E10" s="44">
        <f>Mob_Estimate!D24</f>
        <v>159887.71428571429</v>
      </c>
      <c r="F10" s="45"/>
      <c r="G10" s="44"/>
      <c r="H10" s="3"/>
      <c r="I10" s="3"/>
      <c r="J10" s="3"/>
    </row>
    <row r="11" spans="1:13" s="34" customFormat="1">
      <c r="A11" s="3"/>
      <c r="B11" s="41" t="s">
        <v>764</v>
      </c>
      <c r="C11" s="41"/>
      <c r="D11" s="41"/>
      <c r="E11" s="44">
        <f>Mob_Estimate!D36</f>
        <v>126394.75</v>
      </c>
      <c r="F11" s="45"/>
      <c r="G11" s="44"/>
      <c r="H11" s="3"/>
      <c r="I11" s="3"/>
      <c r="J11" s="3"/>
    </row>
    <row r="12" spans="1:13" s="34" customFormat="1">
      <c r="A12" s="3"/>
      <c r="B12" s="41"/>
      <c r="C12" s="41"/>
      <c r="D12" s="41"/>
      <c r="E12" s="44"/>
      <c r="F12" s="45"/>
      <c r="G12" s="44"/>
      <c r="H12" s="3"/>
      <c r="I12" s="3"/>
      <c r="J12" s="3"/>
    </row>
    <row r="13" spans="1:13" s="34" customFormat="1" ht="13.5" thickBot="1">
      <c r="A13" s="3"/>
      <c r="B13" s="46" t="s">
        <v>765</v>
      </c>
      <c r="C13" s="41"/>
      <c r="D13" s="41"/>
      <c r="E13" s="47">
        <f>SUBTOTAL(9,E7:E11)</f>
        <v>403565.35037309892</v>
      </c>
      <c r="F13" s="45"/>
      <c r="G13" s="454">
        <f>E13/180000</f>
        <v>2.2420297242949938</v>
      </c>
      <c r="H13" s="3"/>
      <c r="I13" s="3"/>
      <c r="J13" s="3"/>
    </row>
    <row r="14" spans="1:13" s="34" customFormat="1" ht="13.5" thickBot="1">
      <c r="A14" s="3"/>
      <c r="B14" s="46"/>
      <c r="C14" s="46"/>
      <c r="D14" s="46"/>
      <c r="E14" s="48"/>
      <c r="F14" s="49"/>
      <c r="G14" s="48"/>
      <c r="H14" s="37"/>
      <c r="I14" s="3"/>
      <c r="J14" s="3"/>
      <c r="K14" s="3"/>
      <c r="L14" s="3"/>
      <c r="M14" s="3"/>
    </row>
    <row r="15" spans="1:13" s="34" customFormat="1" ht="13.5" hidden="1" thickBot="1">
      <c r="A15" s="3"/>
      <c r="B15" s="40" t="s">
        <v>766</v>
      </c>
      <c r="C15" s="46"/>
      <c r="D15" s="46"/>
      <c r="E15" s="50" t="s">
        <v>767</v>
      </c>
      <c r="F15" s="49"/>
      <c r="G15" s="50"/>
      <c r="H15" s="37"/>
      <c r="I15" s="3"/>
      <c r="J15" s="3"/>
      <c r="K15" s="3"/>
      <c r="L15" s="3"/>
      <c r="M15" s="3"/>
    </row>
    <row r="16" spans="1:13" s="34" customFormat="1" ht="13.5" hidden="1" thickBot="1">
      <c r="A16" s="3"/>
      <c r="B16" s="40"/>
      <c r="C16" s="46"/>
      <c r="D16" s="46"/>
      <c r="E16" s="51"/>
      <c r="F16" s="49"/>
      <c r="G16" s="51"/>
      <c r="H16" s="37"/>
      <c r="I16" s="3"/>
      <c r="J16" s="3"/>
      <c r="K16" s="3"/>
      <c r="L16" s="3"/>
      <c r="M16" s="3"/>
    </row>
    <row r="17" spans="1:13" s="34" customFormat="1">
      <c r="A17" s="3"/>
      <c r="B17" s="40" t="s">
        <v>323</v>
      </c>
      <c r="C17" s="46"/>
      <c r="D17" s="46"/>
      <c r="E17" s="50" t="s">
        <v>767</v>
      </c>
      <c r="F17" s="49"/>
      <c r="G17" s="50"/>
      <c r="H17" s="37"/>
      <c r="I17" s="3"/>
      <c r="J17" s="3"/>
      <c r="K17" s="3"/>
      <c r="L17" s="3"/>
      <c r="M17" s="3"/>
    </row>
    <row r="18" spans="1:13" s="34" customFormat="1">
      <c r="A18" s="3"/>
      <c r="B18" s="40"/>
      <c r="C18" s="46"/>
      <c r="D18" s="46"/>
      <c r="E18" s="51"/>
      <c r="F18" s="49"/>
      <c r="G18" s="51"/>
      <c r="H18" s="37"/>
      <c r="I18" s="3"/>
      <c r="J18" s="3"/>
      <c r="K18" s="3"/>
      <c r="L18" s="3"/>
      <c r="M18" s="3"/>
    </row>
    <row r="19" spans="1:13" s="34" customFormat="1" ht="13.5" thickBot="1">
      <c r="A19" s="3"/>
      <c r="B19" s="40" t="s">
        <v>324</v>
      </c>
      <c r="C19" s="46"/>
      <c r="D19" s="46"/>
      <c r="E19" s="52" t="str">
        <f>Mob_Estimate!D45</f>
        <v>NA</v>
      </c>
      <c r="F19" s="49"/>
      <c r="G19" s="52"/>
      <c r="H19" s="37"/>
      <c r="I19" s="3"/>
      <c r="J19" s="3"/>
      <c r="K19" s="3"/>
      <c r="L19" s="3"/>
      <c r="M19" s="3"/>
    </row>
    <row r="20" spans="1:13" s="34" customFormat="1" ht="13.5" thickBot="1">
      <c r="A20" s="3"/>
      <c r="B20" s="40"/>
      <c r="C20" s="46"/>
      <c r="D20" s="46"/>
      <c r="E20" s="53"/>
      <c r="F20" s="49"/>
      <c r="G20" s="53"/>
      <c r="H20" s="37"/>
      <c r="I20" s="3"/>
      <c r="J20" s="3"/>
      <c r="K20" s="3"/>
      <c r="L20" s="3"/>
      <c r="M20" s="3"/>
    </row>
    <row r="21" spans="1:13" s="34" customFormat="1" ht="13.5" thickBot="1">
      <c r="A21" s="3"/>
      <c r="B21" s="46" t="s">
        <v>768</v>
      </c>
      <c r="C21" s="54"/>
      <c r="D21" s="46"/>
      <c r="E21" s="55">
        <f>Mob_Estimate!D47</f>
        <v>1135750</v>
      </c>
      <c r="F21" s="49"/>
      <c r="G21" s="453">
        <f>E21/180000</f>
        <v>6.3097222222222218</v>
      </c>
      <c r="K21" s="3"/>
      <c r="L21" s="3"/>
      <c r="M21" s="3"/>
    </row>
    <row r="22" spans="1:13" s="34" customFormat="1" ht="13.5" thickBot="1">
      <c r="A22" s="3"/>
      <c r="E22" s="36"/>
      <c r="F22" s="49"/>
      <c r="G22" s="36"/>
      <c r="K22" s="3"/>
      <c r="L22" s="3"/>
      <c r="M22" s="3"/>
    </row>
    <row r="23" spans="1:13" s="34" customFormat="1" ht="13.5" thickBot="1">
      <c r="A23" s="3"/>
      <c r="B23" s="40" t="s">
        <v>769</v>
      </c>
      <c r="C23" s="46"/>
      <c r="D23" s="46"/>
      <c r="E23" s="56">
        <f>Mob_Estimate!D50</f>
        <v>160000</v>
      </c>
      <c r="F23" s="49"/>
      <c r="G23" s="455">
        <f>E23/180000</f>
        <v>0.88888888888888884</v>
      </c>
      <c r="H23" s="37"/>
      <c r="I23" s="3"/>
      <c r="J23" s="3"/>
      <c r="K23" s="3"/>
      <c r="L23" s="3"/>
      <c r="M23" s="3"/>
    </row>
    <row r="24" spans="1:13" s="34" customFormat="1" ht="13.5" hidden="1" thickBot="1">
      <c r="A24" s="3"/>
      <c r="B24" s="46" t="s">
        <v>770</v>
      </c>
      <c r="C24" s="46"/>
      <c r="D24" s="46"/>
      <c r="E24" s="57"/>
      <c r="F24" s="49"/>
      <c r="G24" s="57"/>
      <c r="H24" s="37"/>
      <c r="I24" s="3"/>
      <c r="J24" s="3"/>
      <c r="K24" s="3"/>
      <c r="L24" s="3"/>
      <c r="M24" s="3"/>
    </row>
    <row r="25" spans="1:13" s="34" customFormat="1" ht="13.5" thickBot="1">
      <c r="A25" s="3"/>
      <c r="B25" s="46"/>
      <c r="C25" s="46"/>
      <c r="D25" s="46"/>
      <c r="E25" s="439"/>
      <c r="F25" s="49"/>
      <c r="G25" s="439"/>
      <c r="H25" s="37"/>
      <c r="I25" s="3"/>
      <c r="J25" s="3"/>
      <c r="K25" s="3"/>
      <c r="L25" s="3"/>
      <c r="M25" s="3"/>
    </row>
    <row r="26" spans="1:13" s="34" customFormat="1" ht="13.5" thickBot="1">
      <c r="A26" s="3"/>
      <c r="B26" s="46" t="s">
        <v>326</v>
      </c>
      <c r="C26" s="46"/>
      <c r="D26" s="46"/>
      <c r="E26" s="55">
        <f>E13+E21+E23</f>
        <v>1699315.3503730989</v>
      </c>
      <c r="F26" s="49"/>
      <c r="G26" s="453">
        <f>SUM(G13:G23)</f>
        <v>9.4406408354061053</v>
      </c>
      <c r="H26" s="440"/>
      <c r="I26" s="3"/>
      <c r="J26" s="3"/>
      <c r="K26" s="3"/>
      <c r="L26" s="3"/>
      <c r="M26" s="3"/>
    </row>
    <row r="27" spans="1:13" s="34" customFormat="1">
      <c r="A27" s="3"/>
      <c r="B27" s="46"/>
      <c r="C27" s="54"/>
      <c r="D27" s="46"/>
      <c r="E27" s="49"/>
      <c r="F27" s="49"/>
      <c r="G27" s="37"/>
      <c r="H27" s="37"/>
      <c r="I27" s="3"/>
      <c r="J27" s="3"/>
      <c r="K27" s="3"/>
      <c r="L27" s="3"/>
      <c r="M27" s="3"/>
    </row>
    <row r="28" spans="1:13" s="34" customFormat="1" ht="16.5" thickBot="1">
      <c r="A28" s="35" t="s">
        <v>771</v>
      </c>
      <c r="B28" s="46"/>
      <c r="C28" s="46"/>
      <c r="D28" s="46"/>
      <c r="E28" s="48"/>
      <c r="F28" s="49"/>
      <c r="G28" s="37"/>
      <c r="H28" s="37"/>
      <c r="I28" s="3"/>
      <c r="J28" s="3"/>
      <c r="K28" s="3"/>
      <c r="L28" s="3"/>
      <c r="M28" s="3"/>
    </row>
    <row r="29" spans="1:13" s="34" customFormat="1">
      <c r="A29" s="3"/>
      <c r="B29" s="41"/>
      <c r="C29" s="41"/>
      <c r="D29" s="41"/>
      <c r="E29" s="58"/>
      <c r="F29" s="59"/>
      <c r="G29" s="437" t="s">
        <v>311</v>
      </c>
      <c r="H29" s="437" t="s">
        <v>313</v>
      </c>
      <c r="I29" s="459" t="s">
        <v>311</v>
      </c>
      <c r="J29" s="460"/>
      <c r="K29" s="459" t="s">
        <v>313</v>
      </c>
      <c r="L29" s="460"/>
    </row>
    <row r="30" spans="1:13" s="34" customFormat="1" ht="13.5" thickBot="1">
      <c r="A30" s="3"/>
      <c r="B30" s="41"/>
      <c r="C30" s="41"/>
      <c r="D30" s="41"/>
      <c r="E30" s="60" t="s">
        <v>772</v>
      </c>
      <c r="F30" s="61" t="s">
        <v>773</v>
      </c>
      <c r="G30" s="258" t="s">
        <v>312</v>
      </c>
      <c r="H30" s="258" t="s">
        <v>312</v>
      </c>
      <c r="I30" s="441" t="s">
        <v>328</v>
      </c>
      <c r="J30" s="442" t="s">
        <v>329</v>
      </c>
      <c r="K30" s="441" t="s">
        <v>328</v>
      </c>
      <c r="L30" s="442" t="s">
        <v>329</v>
      </c>
    </row>
    <row r="31" spans="1:13" s="34" customFormat="1">
      <c r="A31" s="40" t="s">
        <v>774</v>
      </c>
      <c r="B31" s="41"/>
      <c r="C31" s="42"/>
      <c r="D31" s="41"/>
      <c r="E31" s="59"/>
      <c r="F31" s="59"/>
      <c r="G31" s="59"/>
      <c r="H31" s="58"/>
      <c r="I31" s="443"/>
      <c r="J31" s="259"/>
      <c r="K31" s="443"/>
      <c r="L31" s="259"/>
    </row>
    <row r="32" spans="1:13" s="34" customFormat="1">
      <c r="A32" s="3"/>
      <c r="B32" s="41" t="s">
        <v>775</v>
      </c>
      <c r="C32" s="41"/>
      <c r="D32" s="41"/>
      <c r="E32" s="44">
        <f>'O&amp;M_Estimate'!D8</f>
        <v>508225.83971199999</v>
      </c>
      <c r="F32" s="44">
        <f>'O&amp;M_Estimate'!E8</f>
        <v>508225.83971199999</v>
      </c>
      <c r="G32" s="44">
        <f>'O&amp;M_Estimate'!F8</f>
        <v>508225.83971199999</v>
      </c>
      <c r="H32" s="449">
        <f>'O&amp;M_Estimate'!G8</f>
        <v>508225.83971199999</v>
      </c>
      <c r="I32" s="444">
        <f>G32/180000</f>
        <v>2.8234768872888889</v>
      </c>
      <c r="J32" s="205"/>
      <c r="K32" s="444">
        <f>H32/180000</f>
        <v>2.8234768872888889</v>
      </c>
      <c r="L32" s="205"/>
    </row>
    <row r="33" spans="1:12" s="34" customFormat="1">
      <c r="A33" s="3"/>
      <c r="B33" s="41" t="s">
        <v>776</v>
      </c>
      <c r="C33" s="41"/>
      <c r="D33" s="41"/>
      <c r="E33" s="44">
        <f>'O&amp;M_Estimate'!D22</f>
        <v>188733.08781282353</v>
      </c>
      <c r="F33" s="44">
        <f>'O&amp;M_Estimate'!E22</f>
        <v>173483.08781282353</v>
      </c>
      <c r="G33" s="44">
        <f>'O&amp;M_Estimate'!F22</f>
        <v>178566.42114615688</v>
      </c>
      <c r="H33" s="449">
        <f>'O&amp;M_Estimate'!G22</f>
        <v>174245.58781282353</v>
      </c>
      <c r="I33" s="444">
        <f>G33/180000</f>
        <v>0.99203567303420492</v>
      </c>
      <c r="J33" s="205"/>
      <c r="K33" s="444">
        <f>H33/180000</f>
        <v>0.96803104340457524</v>
      </c>
      <c r="L33" s="205"/>
    </row>
    <row r="34" spans="1:12" s="34" customFormat="1">
      <c r="A34" s="3"/>
      <c r="B34" s="41" t="s">
        <v>315</v>
      </c>
      <c r="C34" s="41"/>
      <c r="D34" s="41"/>
      <c r="E34" s="44">
        <f>'O&amp;M_Estimate'!D24</f>
        <v>127190.70999999999</v>
      </c>
      <c r="F34" s="44">
        <f>'O&amp;M_Estimate'!E24</f>
        <v>127190.70999999999</v>
      </c>
      <c r="G34" s="44">
        <f>'O&amp;M_Estimate'!F24</f>
        <v>127190.71</v>
      </c>
      <c r="H34" s="449">
        <f>'O&amp;M_Estimate'!G24</f>
        <v>127190.70999999999</v>
      </c>
      <c r="I34" s="447"/>
      <c r="J34" s="445">
        <f>G34/180/1300</f>
        <v>0.54355004273504282</v>
      </c>
      <c r="K34" s="447"/>
      <c r="L34" s="445">
        <f>H34/180/1300</f>
        <v>0.5435500427350427</v>
      </c>
    </row>
    <row r="35" spans="1:12" s="34" customFormat="1">
      <c r="A35" s="3"/>
      <c r="B35" s="41" t="s">
        <v>777</v>
      </c>
      <c r="C35" s="41"/>
      <c r="D35" s="41"/>
      <c r="E35" s="44">
        <f>'O&amp;M_Estimate'!D40</f>
        <v>376859.07773719507</v>
      </c>
      <c r="F35" s="44">
        <f>'O&amp;M_Estimate'!E40</f>
        <v>646769.00748088898</v>
      </c>
      <c r="G35" s="44">
        <f>'O&amp;M_Estimate'!F40</f>
        <v>556799.03089965775</v>
      </c>
      <c r="H35" s="449">
        <f>'O&amp;M_Estimate'!G40</f>
        <v>633273.5109937042</v>
      </c>
      <c r="I35" s="444">
        <f>G35/180000*0.9</f>
        <v>2.7839951544982888</v>
      </c>
      <c r="J35" s="445">
        <f>G35*0.1/180/1300</f>
        <v>0.23794830380327256</v>
      </c>
      <c r="K35" s="444">
        <f>H35/180000*0.9</f>
        <v>3.1663675549685211</v>
      </c>
      <c r="L35" s="445">
        <f>H35*0.1/180/1300</f>
        <v>0.27062970555286503</v>
      </c>
    </row>
    <row r="36" spans="1:12" s="34" customFormat="1">
      <c r="A36" s="3"/>
      <c r="B36" s="41" t="s">
        <v>778</v>
      </c>
      <c r="C36" s="41"/>
      <c r="D36" s="41"/>
      <c r="E36" s="44">
        <f>'O&amp;M_Estimate'!D42</f>
        <v>12639.475</v>
      </c>
      <c r="F36" s="44">
        <f>'O&amp;M_Estimate'!E42</f>
        <v>12639.475</v>
      </c>
      <c r="G36" s="44">
        <f>'O&amp;M_Estimate'!F42</f>
        <v>12639.475</v>
      </c>
      <c r="H36" s="449">
        <f>'O&amp;M_Estimate'!G42</f>
        <v>12639.475</v>
      </c>
      <c r="I36" s="444">
        <f>G36/180000</f>
        <v>7.0219305555555556E-2</v>
      </c>
      <c r="J36" s="205"/>
      <c r="K36" s="444">
        <f>H36/180000</f>
        <v>7.0219305555555556E-2</v>
      </c>
      <c r="L36" s="205"/>
    </row>
    <row r="37" spans="1:12" s="34" customFormat="1">
      <c r="A37" s="3"/>
      <c r="B37" s="41"/>
      <c r="C37" s="41"/>
      <c r="D37" s="41"/>
      <c r="E37" s="44"/>
      <c r="F37" s="44"/>
      <c r="G37" s="44"/>
      <c r="H37" s="449"/>
      <c r="I37" s="204"/>
      <c r="J37" s="205"/>
      <c r="K37" s="204"/>
      <c r="L37" s="205"/>
    </row>
    <row r="38" spans="1:12" s="34" customFormat="1" ht="13.5" thickBot="1">
      <c r="A38" s="3"/>
      <c r="B38" s="46" t="s">
        <v>779</v>
      </c>
      <c r="C38" s="41"/>
      <c r="D38" s="41"/>
      <c r="E38" s="47">
        <f t="shared" ref="E38:L38" si="0">SUM(E32:E36)</f>
        <v>1213648.1902620187</v>
      </c>
      <c r="F38" s="47">
        <f t="shared" si="0"/>
        <v>1468308.1200057124</v>
      </c>
      <c r="G38" s="47">
        <f t="shared" si="0"/>
        <v>1383421.4767578146</v>
      </c>
      <c r="H38" s="448">
        <f t="shared" si="0"/>
        <v>1455575.1235185277</v>
      </c>
      <c r="I38" s="446">
        <f t="shared" si="0"/>
        <v>6.6697270203769383</v>
      </c>
      <c r="J38" s="450">
        <f t="shared" si="0"/>
        <v>0.7814983465383154</v>
      </c>
      <c r="K38" s="446">
        <f t="shared" si="0"/>
        <v>7.0280947912175407</v>
      </c>
      <c r="L38" s="450">
        <f t="shared" si="0"/>
        <v>0.81417974828790773</v>
      </c>
    </row>
    <row r="39" spans="1:12" s="34" customFormat="1" ht="13.5" thickBot="1">
      <c r="A39" s="3"/>
      <c r="B39" s="46"/>
      <c r="C39" s="46"/>
      <c r="D39" s="46"/>
      <c r="E39" s="37"/>
      <c r="F39" s="37"/>
      <c r="G39" s="37"/>
      <c r="H39" s="37"/>
      <c r="I39" s="3"/>
      <c r="J39" s="3"/>
      <c r="K39" s="3"/>
      <c r="L39" s="3"/>
    </row>
    <row r="40" spans="1:12" s="34" customFormat="1" ht="13.5" thickBot="1">
      <c r="A40" s="68" t="s">
        <v>782</v>
      </c>
      <c r="B40" s="41"/>
      <c r="C40" s="41"/>
      <c r="D40" s="41"/>
      <c r="E40" s="69">
        <f>'O&amp;M_Estimate'!D56</f>
        <v>200000</v>
      </c>
      <c r="F40" s="69">
        <f>'O&amp;M_Estimate'!E56</f>
        <v>200000</v>
      </c>
      <c r="G40" s="69">
        <f>'O&amp;M_Estimate'!F56</f>
        <v>200000</v>
      </c>
      <c r="H40" s="69">
        <f>'O&amp;M_Estimate'!G56</f>
        <v>200000</v>
      </c>
      <c r="I40" s="451">
        <f>G40/180000</f>
        <v>1.1111111111111112</v>
      </c>
      <c r="J40" s="452"/>
      <c r="K40" s="451">
        <f>H40/180000</f>
        <v>1.1111111111111112</v>
      </c>
      <c r="L40" s="452"/>
    </row>
    <row r="41" spans="1:12" s="34" customFormat="1" ht="13.5" thickBot="1">
      <c r="A41" s="3"/>
      <c r="B41" s="41"/>
      <c r="C41" s="41"/>
      <c r="D41" s="41"/>
      <c r="E41" s="41"/>
      <c r="F41" s="41"/>
      <c r="G41" s="41"/>
      <c r="H41" s="3"/>
      <c r="I41" s="3"/>
      <c r="J41" s="62"/>
      <c r="K41" s="3"/>
      <c r="L41" s="3"/>
    </row>
    <row r="42" spans="1:12" s="34" customFormat="1" ht="13.5" hidden="1" thickBot="1">
      <c r="A42" s="40" t="s">
        <v>319</v>
      </c>
      <c r="B42" s="41"/>
      <c r="D42" s="63"/>
      <c r="F42" s="37"/>
      <c r="G42" s="37"/>
      <c r="H42" s="64">
        <f>LM6000PC_MMR_Gas!H9</f>
        <v>54.346153846153847</v>
      </c>
      <c r="I42" s="3"/>
      <c r="J42" s="3"/>
    </row>
    <row r="43" spans="1:12" s="34" customFormat="1" ht="13.5" hidden="1" thickBot="1">
      <c r="A43" s="40" t="s">
        <v>320</v>
      </c>
      <c r="B43" s="41"/>
      <c r="D43" s="63"/>
      <c r="F43" s="37"/>
      <c r="G43" s="37"/>
      <c r="H43" s="64">
        <f>'O&amp;M_Estimate'!D48</f>
        <v>25</v>
      </c>
      <c r="I43" s="3"/>
      <c r="J43" s="3"/>
    </row>
    <row r="44" spans="1:12" s="34" customFormat="1" ht="13.5" hidden="1" thickBot="1">
      <c r="A44" s="40"/>
      <c r="B44" s="41"/>
      <c r="D44" s="63"/>
      <c r="E44" s="65"/>
      <c r="F44" s="37"/>
      <c r="G44" s="37"/>
      <c r="H44" s="3"/>
      <c r="I44" s="3"/>
      <c r="J44" s="3"/>
    </row>
    <row r="45" spans="1:12" s="34" customFormat="1" ht="13.5" hidden="1" thickBot="1">
      <c r="A45" s="40" t="s">
        <v>780</v>
      </c>
      <c r="B45" s="3"/>
      <c r="C45" s="45"/>
      <c r="E45" s="56">
        <f>'O&amp;M_Estimate'!D50</f>
        <v>0</v>
      </c>
      <c r="F45" s="56">
        <f>'O&amp;M_Estimate'!E50</f>
        <v>0</v>
      </c>
      <c r="G45" s="56">
        <f>'O&amp;M_Estimate'!F50</f>
        <v>0</v>
      </c>
      <c r="H45" s="56">
        <f>'O&amp;M_Estimate'!G50</f>
        <v>0</v>
      </c>
      <c r="I45" s="3"/>
      <c r="J45" s="3"/>
    </row>
    <row r="46" spans="1:12" s="34" customFormat="1" ht="13.5" hidden="1" thickBot="1">
      <c r="A46" s="40"/>
      <c r="B46" s="41"/>
      <c r="C46" s="42"/>
      <c r="D46" s="41"/>
      <c r="E46" s="37"/>
      <c r="F46" s="37"/>
      <c r="G46" s="37"/>
      <c r="H46" s="3"/>
      <c r="I46" s="3"/>
      <c r="J46" s="3"/>
    </row>
    <row r="47" spans="1:12" s="34" customFormat="1" ht="13.5" hidden="1" thickBot="1">
      <c r="A47" s="40" t="s">
        <v>781</v>
      </c>
      <c r="B47" s="66"/>
      <c r="C47" s="48"/>
      <c r="D47" s="46"/>
      <c r="E47" s="67" t="s">
        <v>767</v>
      </c>
      <c r="F47" s="67" t="s">
        <v>767</v>
      </c>
      <c r="G47" s="3"/>
      <c r="H47" s="3"/>
      <c r="I47" s="3"/>
      <c r="J47" s="3"/>
    </row>
    <row r="48" spans="1:12" s="34" customFormat="1" ht="13.5" hidden="1" thickBot="1">
      <c r="A48" s="3"/>
      <c r="B48" s="46"/>
      <c r="C48" s="46"/>
      <c r="D48" s="46"/>
      <c r="E48" s="3"/>
      <c r="F48" s="3"/>
      <c r="G48" s="3"/>
      <c r="H48" s="3"/>
      <c r="I48" s="3"/>
      <c r="J48" s="3"/>
    </row>
    <row r="49" spans="1:13" s="34" customFormat="1" ht="13.5" thickBot="1">
      <c r="A49" s="40" t="s">
        <v>325</v>
      </c>
      <c r="B49"/>
      <c r="C49" s="42"/>
      <c r="D49"/>
      <c r="E49" s="67" t="s">
        <v>767</v>
      </c>
      <c r="F49" s="67" t="s">
        <v>767</v>
      </c>
      <c r="G49" s="67" t="s">
        <v>767</v>
      </c>
      <c r="H49" s="67" t="s">
        <v>767</v>
      </c>
      <c r="I49" s="3"/>
      <c r="J49" s="3"/>
      <c r="K49" s="3"/>
    </row>
    <row r="50" spans="1:13" s="34" customFormat="1">
      <c r="A50" s="40"/>
      <c r="B50"/>
      <c r="C50" s="42"/>
      <c r="D50"/>
      <c r="E50" s="37"/>
      <c r="F50" s="37"/>
      <c r="G50" s="3"/>
      <c r="H50" s="3"/>
      <c r="I50" s="3"/>
      <c r="J50" s="3"/>
      <c r="K50" s="3"/>
    </row>
    <row r="51" spans="1:13" s="34" customFormat="1"/>
    <row r="52" spans="1:13" s="34" customFormat="1" ht="13.5" hidden="1" thickBot="1">
      <c r="A52" s="68" t="s">
        <v>770</v>
      </c>
      <c r="B52" s="41"/>
      <c r="C52" s="41"/>
      <c r="D52" s="41"/>
      <c r="E52" s="70" t="e">
        <f>#REF!</f>
        <v>#REF!</v>
      </c>
      <c r="F52" s="71" t="e">
        <f>#REF!</f>
        <v>#REF!</v>
      </c>
      <c r="G52" s="71" t="e">
        <f>#REF!</f>
        <v>#REF!</v>
      </c>
      <c r="H52" s="72" t="e">
        <f>#REF!</f>
        <v>#REF!</v>
      </c>
      <c r="I52" s="3"/>
      <c r="J52" s="3"/>
      <c r="K52" s="3"/>
      <c r="L52" s="3"/>
      <c r="M52" s="3"/>
    </row>
    <row r="53" spans="1:13" s="34" customFormat="1">
      <c r="A53" s="3"/>
      <c r="B53" s="41"/>
      <c r="C53" s="41"/>
      <c r="D53" s="41"/>
      <c r="E53" s="41"/>
      <c r="F53" s="3"/>
      <c r="G53" s="3"/>
      <c r="H53" s="3"/>
      <c r="I53" s="3"/>
      <c r="J53" s="3"/>
      <c r="K53" s="3"/>
      <c r="L53" s="3"/>
      <c r="M53" s="3"/>
    </row>
    <row r="54" spans="1:13" s="34" customFormat="1">
      <c r="A54" s="3"/>
      <c r="B54" s="41"/>
      <c r="C54" s="41"/>
      <c r="D54" s="41"/>
      <c r="E54" s="41"/>
      <c r="F54" s="3"/>
      <c r="G54" s="3"/>
      <c r="H54" s="3"/>
      <c r="I54" s="3"/>
      <c r="J54" s="3"/>
      <c r="K54" s="3"/>
      <c r="L54" s="3"/>
      <c r="M54" s="3"/>
    </row>
    <row r="55" spans="1:13" s="34" customFormat="1">
      <c r="A55" s="3"/>
      <c r="B55" s="41"/>
      <c r="C55" s="41"/>
      <c r="D55" s="41"/>
      <c r="E55" s="41"/>
      <c r="F55" s="3"/>
      <c r="G55" s="3"/>
      <c r="H55" s="3"/>
      <c r="I55" s="3"/>
      <c r="J55" s="3"/>
      <c r="K55" s="3"/>
      <c r="L55" s="3"/>
      <c r="M55" s="3"/>
    </row>
    <row r="56" spans="1:13" s="34" customFormat="1">
      <c r="A56" s="3"/>
      <c r="B56" s="41"/>
      <c r="C56" s="41"/>
      <c r="D56" s="41"/>
      <c r="E56" s="41"/>
      <c r="F56" s="3"/>
      <c r="G56" s="3"/>
      <c r="H56" s="3"/>
      <c r="I56" s="3"/>
      <c r="J56" s="3"/>
      <c r="K56" s="3"/>
      <c r="L56" s="3"/>
      <c r="M56" s="3"/>
    </row>
    <row r="57" spans="1:13" s="34" customFormat="1">
      <c r="A57" s="3"/>
      <c r="B57" s="41"/>
      <c r="C57" s="41"/>
      <c r="D57" s="41"/>
      <c r="E57" s="41"/>
      <c r="F57" s="3"/>
      <c r="G57" s="3"/>
      <c r="H57" s="3"/>
      <c r="I57" s="3"/>
      <c r="J57" s="3"/>
      <c r="K57" s="3"/>
      <c r="L57" s="3"/>
      <c r="M57" s="3"/>
    </row>
    <row r="58" spans="1:13" s="34" customFormat="1">
      <c r="A58" s="3"/>
      <c r="B58" s="41"/>
      <c r="C58" s="41"/>
      <c r="D58" s="41"/>
      <c r="E58" s="41"/>
      <c r="F58" s="3"/>
      <c r="G58" s="3"/>
      <c r="H58" s="3"/>
      <c r="I58" s="3"/>
      <c r="J58" s="3"/>
      <c r="K58" s="3"/>
      <c r="L58" s="3"/>
      <c r="M58" s="3"/>
    </row>
    <row r="59" spans="1:13" s="34" customFormat="1">
      <c r="A59" s="3"/>
      <c r="B59" s="41"/>
      <c r="C59" s="41"/>
      <c r="D59" s="41"/>
      <c r="E59" s="41"/>
      <c r="F59" s="3"/>
      <c r="G59" s="3"/>
      <c r="H59" s="3"/>
      <c r="I59" s="3"/>
      <c r="J59" s="3"/>
      <c r="K59" s="3"/>
      <c r="L59" s="3"/>
      <c r="M59" s="3"/>
    </row>
    <row r="60" spans="1:13" s="34" customFormat="1">
      <c r="A60" s="3"/>
      <c r="B60" s="41"/>
      <c r="C60" s="41"/>
      <c r="D60" s="41"/>
      <c r="E60" s="3"/>
      <c r="F60" s="3"/>
      <c r="G60" s="3"/>
      <c r="H60" s="3"/>
      <c r="I60" s="3"/>
      <c r="J60" s="3"/>
      <c r="K60" s="3"/>
      <c r="L60" s="3"/>
      <c r="M60" s="3"/>
    </row>
    <row r="61" spans="1:13" s="34" customFormat="1">
      <c r="A61" s="3"/>
      <c r="B61" s="41"/>
      <c r="C61" s="41"/>
      <c r="D61" s="41"/>
      <c r="E61" s="3"/>
      <c r="F61" s="3"/>
      <c r="G61" s="3"/>
      <c r="H61" s="3"/>
      <c r="I61" s="3"/>
      <c r="J61" s="3"/>
      <c r="K61" s="3"/>
      <c r="L61" s="3"/>
      <c r="M61" s="3"/>
    </row>
    <row r="62" spans="1:13" s="34" customFormat="1">
      <c r="A62" s="3"/>
      <c r="B62" s="41"/>
      <c r="C62" s="41"/>
      <c r="D62" s="41"/>
      <c r="E62" s="3"/>
      <c r="F62" s="3"/>
      <c r="G62" s="3"/>
      <c r="H62" s="3"/>
      <c r="I62" s="3"/>
      <c r="J62" s="3"/>
      <c r="K62" s="3"/>
      <c r="L62" s="3"/>
      <c r="M62" s="3"/>
    </row>
    <row r="63" spans="1:13" s="34" customFormat="1">
      <c r="A63" s="3"/>
      <c r="B63" s="41"/>
      <c r="C63" s="41"/>
      <c r="D63" s="41"/>
      <c r="E63" s="3"/>
      <c r="F63" s="3"/>
      <c r="G63" s="3"/>
      <c r="H63" s="3"/>
      <c r="I63" s="3"/>
      <c r="J63" s="3"/>
      <c r="K63" s="3"/>
      <c r="L63" s="3"/>
      <c r="M63" s="3"/>
    </row>
    <row r="64" spans="1:13" s="34" customFormat="1">
      <c r="A64" s="3"/>
      <c r="B64" s="41"/>
      <c r="C64" s="41"/>
      <c r="D64" s="41"/>
      <c r="E64" s="3"/>
      <c r="F64" s="3"/>
      <c r="G64" s="3"/>
      <c r="H64" s="3"/>
      <c r="I64" s="3"/>
      <c r="J64" s="3"/>
      <c r="K64" s="3"/>
      <c r="L64" s="3"/>
      <c r="M64" s="3"/>
    </row>
    <row r="65" spans="1:13" s="34" customFormat="1">
      <c r="A65" s="3"/>
      <c r="B65" s="41"/>
      <c r="C65" s="41"/>
      <c r="D65" s="41"/>
      <c r="E65" s="3"/>
      <c r="F65" s="3"/>
      <c r="G65" s="3"/>
      <c r="H65" s="3"/>
      <c r="I65" s="3"/>
      <c r="J65" s="3"/>
      <c r="K65" s="3"/>
      <c r="L65" s="3"/>
      <c r="M65" s="3"/>
    </row>
    <row r="66" spans="1:13" s="34" customFormat="1">
      <c r="A66" s="3"/>
      <c r="B66" s="41"/>
      <c r="C66" s="41"/>
      <c r="D66" s="41"/>
      <c r="E66" s="3"/>
      <c r="F66" s="3"/>
      <c r="G66" s="3"/>
      <c r="H66" s="3"/>
      <c r="I66" s="3"/>
      <c r="J66" s="3"/>
      <c r="K66" s="3"/>
      <c r="L66" s="3"/>
      <c r="M66" s="3"/>
    </row>
    <row r="67" spans="1:13" s="34" customFormat="1">
      <c r="A67" s="3"/>
      <c r="B67" s="41"/>
      <c r="C67" s="41"/>
      <c r="D67" s="41"/>
      <c r="E67" s="3"/>
      <c r="F67" s="3"/>
      <c r="G67" s="3"/>
      <c r="H67" s="3"/>
      <c r="I67" s="3"/>
      <c r="J67" s="3"/>
      <c r="K67" s="3"/>
      <c r="L67" s="3"/>
      <c r="M67" s="3"/>
    </row>
    <row r="68" spans="1:13" s="34" customFormat="1">
      <c r="A68" s="3"/>
      <c r="B68" s="41"/>
      <c r="C68" s="41"/>
      <c r="D68" s="41"/>
      <c r="E68" s="3"/>
      <c r="F68" s="3"/>
      <c r="G68" s="3"/>
      <c r="H68" s="3"/>
      <c r="I68" s="3"/>
      <c r="J68" s="3"/>
      <c r="K68" s="3"/>
      <c r="L68" s="3"/>
      <c r="M68" s="3"/>
    </row>
    <row r="69" spans="1:13" s="34" customFormat="1">
      <c r="A69" s="3"/>
      <c r="B69" s="41"/>
      <c r="C69" s="41"/>
      <c r="D69" s="41"/>
      <c r="E69" s="3"/>
      <c r="F69" s="3"/>
      <c r="G69" s="3"/>
      <c r="H69" s="3"/>
      <c r="I69" s="3"/>
      <c r="J69" s="3"/>
      <c r="K69" s="3"/>
      <c r="L69" s="3"/>
      <c r="M69" s="3"/>
    </row>
    <row r="70" spans="1:13" s="34" customFormat="1">
      <c r="A70" s="3"/>
      <c r="B70" s="41"/>
      <c r="C70" s="41"/>
      <c r="D70" s="41"/>
      <c r="E70" s="3"/>
      <c r="F70" s="3"/>
      <c r="G70" s="3"/>
      <c r="H70" s="3"/>
      <c r="I70" s="3"/>
      <c r="J70" s="3"/>
      <c r="K70" s="3"/>
      <c r="L70" s="3"/>
      <c r="M70" s="3"/>
    </row>
    <row r="71" spans="1:13" s="34" customFormat="1">
      <c r="A71" s="3"/>
      <c r="B71" s="41"/>
      <c r="C71" s="41"/>
      <c r="D71" s="41"/>
      <c r="E71" s="3"/>
      <c r="F71" s="3"/>
      <c r="G71" s="3"/>
      <c r="H71" s="3"/>
      <c r="I71" s="3"/>
      <c r="J71" s="3"/>
      <c r="K71" s="3"/>
      <c r="L71" s="3"/>
      <c r="M71" s="3"/>
    </row>
    <row r="72" spans="1:13" s="34" customFormat="1">
      <c r="A72" s="3"/>
      <c r="B72" s="41"/>
      <c r="C72" s="41"/>
      <c r="D72" s="41"/>
      <c r="E72" s="3"/>
      <c r="F72" s="3"/>
      <c r="G72" s="3"/>
      <c r="H72" s="3"/>
      <c r="I72" s="3"/>
      <c r="J72" s="3"/>
      <c r="K72" s="3"/>
      <c r="L72" s="3"/>
      <c r="M72" s="3"/>
    </row>
    <row r="73" spans="1:13" s="34" customFormat="1">
      <c r="A73" s="3"/>
      <c r="B73" s="41"/>
      <c r="C73" s="41"/>
      <c r="D73" s="41"/>
      <c r="E73" s="3"/>
      <c r="F73" s="3"/>
      <c r="G73" s="3"/>
      <c r="H73" s="3"/>
      <c r="I73" s="3"/>
      <c r="J73" s="3"/>
      <c r="K73" s="3"/>
      <c r="L73" s="3"/>
      <c r="M73" s="3"/>
    </row>
    <row r="74" spans="1:13" s="34" customFormat="1">
      <c r="A74" s="3"/>
      <c r="B74" s="41"/>
      <c r="C74" s="41"/>
      <c r="D74" s="41"/>
      <c r="E74" s="3"/>
      <c r="F74" s="3"/>
      <c r="G74" s="3"/>
      <c r="H74" s="3"/>
      <c r="I74" s="3"/>
      <c r="J74" s="3"/>
      <c r="K74" s="3"/>
      <c r="L74" s="3"/>
      <c r="M74" s="3"/>
    </row>
    <row r="75" spans="1:13" s="34" customFormat="1">
      <c r="A75" s="3"/>
      <c r="B75" s="41"/>
      <c r="C75" s="41"/>
      <c r="D75" s="41"/>
      <c r="E75" s="3"/>
      <c r="F75" s="3"/>
      <c r="G75" s="3"/>
      <c r="H75" s="3"/>
      <c r="I75" s="3"/>
      <c r="J75" s="3"/>
      <c r="K75" s="3"/>
      <c r="L75" s="3"/>
      <c r="M75" s="3"/>
    </row>
    <row r="76" spans="1:13" s="34" customFormat="1">
      <c r="A76" s="3"/>
      <c r="B76" s="41"/>
      <c r="C76" s="41"/>
      <c r="D76" s="41"/>
      <c r="E76" s="3"/>
      <c r="F76" s="3"/>
      <c r="G76" s="3"/>
      <c r="H76" s="3"/>
      <c r="I76" s="3"/>
      <c r="J76" s="3"/>
      <c r="K76" s="3"/>
      <c r="L76" s="3"/>
      <c r="M76" s="3"/>
    </row>
    <row r="77" spans="1:13" s="34" customFormat="1">
      <c r="A77" s="3"/>
      <c r="B77" s="41"/>
      <c r="C77" s="41"/>
      <c r="D77" s="41"/>
      <c r="E77" s="3"/>
      <c r="F77" s="3"/>
      <c r="G77" s="3"/>
      <c r="H77" s="3"/>
      <c r="I77" s="3"/>
      <c r="J77" s="3"/>
      <c r="K77" s="3"/>
      <c r="L77" s="3"/>
      <c r="M77" s="3"/>
    </row>
    <row r="78" spans="1:13" s="34" customFormat="1">
      <c r="A78" s="3"/>
      <c r="B78" s="41"/>
      <c r="C78" s="41"/>
      <c r="D78" s="41"/>
      <c r="E78" s="3"/>
      <c r="F78" s="3"/>
      <c r="G78" s="3"/>
      <c r="H78" s="3"/>
      <c r="I78" s="3"/>
      <c r="J78" s="3"/>
      <c r="K78" s="3"/>
      <c r="L78" s="3"/>
      <c r="M78" s="3"/>
    </row>
    <row r="79" spans="1:13" s="34" customFormat="1">
      <c r="A79" s="3"/>
      <c r="B79" s="41"/>
      <c r="C79" s="41"/>
      <c r="D79" s="41"/>
      <c r="E79" s="3"/>
      <c r="F79" s="3"/>
      <c r="G79" s="3"/>
      <c r="H79" s="3"/>
      <c r="I79" s="3"/>
      <c r="J79" s="3"/>
      <c r="K79" s="3"/>
      <c r="L79" s="3"/>
      <c r="M79" s="3"/>
    </row>
    <row r="80" spans="1:13" s="34" customFormat="1">
      <c r="A80" s="3"/>
      <c r="B80" s="41"/>
      <c r="C80" s="41"/>
      <c r="D80" s="41"/>
      <c r="E80" s="3"/>
      <c r="F80" s="3"/>
      <c r="G80" s="3"/>
      <c r="H80" s="3"/>
      <c r="I80" s="3"/>
      <c r="J80" s="3"/>
      <c r="K80" s="3"/>
      <c r="L80" s="3"/>
      <c r="M80" s="3"/>
    </row>
    <row r="81" spans="1:13" s="34" customFormat="1">
      <c r="A81" s="3"/>
      <c r="B81" s="41"/>
      <c r="C81" s="41"/>
      <c r="D81" s="41"/>
      <c r="E81" s="3"/>
      <c r="F81" s="3"/>
      <c r="G81" s="3"/>
      <c r="H81" s="3"/>
      <c r="I81" s="3"/>
      <c r="J81" s="3"/>
      <c r="K81" s="3"/>
      <c r="L81" s="3"/>
      <c r="M81" s="3"/>
    </row>
    <row r="82" spans="1:13" s="34" customFormat="1">
      <c r="A82" s="3"/>
      <c r="B82" s="41"/>
      <c r="C82" s="41"/>
      <c r="D82" s="41"/>
      <c r="E82" s="3"/>
      <c r="F82" s="3"/>
      <c r="G82" s="3"/>
      <c r="H82" s="3"/>
      <c r="I82" s="3"/>
      <c r="J82" s="3"/>
      <c r="K82" s="3"/>
      <c r="L82" s="3"/>
      <c r="M82" s="3"/>
    </row>
    <row r="83" spans="1:13" s="34" customFormat="1">
      <c r="A83" s="3"/>
      <c r="B83" s="41"/>
      <c r="C83" s="41"/>
      <c r="D83" s="41"/>
      <c r="E83" s="3"/>
      <c r="F83" s="3"/>
      <c r="G83" s="3"/>
      <c r="H83" s="3"/>
      <c r="I83" s="3"/>
      <c r="J83" s="3"/>
      <c r="K83" s="3"/>
      <c r="L83" s="3"/>
      <c r="M83" s="3"/>
    </row>
    <row r="84" spans="1:13" s="34" customFormat="1">
      <c r="A84" s="3"/>
      <c r="B84" s="41"/>
      <c r="C84" s="41"/>
      <c r="D84" s="41"/>
      <c r="E84" s="3"/>
      <c r="F84" s="3"/>
      <c r="G84" s="3"/>
      <c r="H84" s="3"/>
      <c r="I84" s="3"/>
      <c r="J84" s="3"/>
      <c r="K84" s="3"/>
      <c r="L84" s="3"/>
      <c r="M84" s="3"/>
    </row>
    <row r="85" spans="1:13" s="34" customFormat="1">
      <c r="A85" s="3"/>
      <c r="B85" s="41"/>
      <c r="C85" s="41"/>
      <c r="D85" s="41"/>
      <c r="E85" s="3"/>
      <c r="F85" s="3"/>
      <c r="G85" s="3"/>
      <c r="H85" s="3"/>
      <c r="I85" s="3"/>
      <c r="J85" s="3"/>
      <c r="K85" s="3"/>
      <c r="L85" s="3"/>
      <c r="M85" s="3"/>
    </row>
    <row r="86" spans="1:13" s="34" customFormat="1">
      <c r="A86" s="3"/>
      <c r="B86" s="41"/>
      <c r="C86" s="41"/>
      <c r="D86" s="41"/>
      <c r="E86" s="3"/>
      <c r="F86" s="3"/>
      <c r="G86" s="3"/>
      <c r="H86" s="3"/>
      <c r="I86" s="3"/>
      <c r="J86" s="3"/>
      <c r="K86" s="3"/>
      <c r="L86" s="3"/>
      <c r="M86" s="3"/>
    </row>
    <row r="87" spans="1:13" s="34" customFormat="1">
      <c r="A87" s="3"/>
      <c r="B87" s="41"/>
      <c r="C87" s="41"/>
      <c r="D87" s="41"/>
      <c r="E87" s="3"/>
      <c r="F87" s="3"/>
      <c r="G87" s="3"/>
      <c r="H87" s="3"/>
      <c r="I87" s="3"/>
      <c r="J87" s="3"/>
      <c r="K87" s="3"/>
      <c r="L87" s="3"/>
      <c r="M87" s="3"/>
    </row>
    <row r="88" spans="1:13" s="34" customFormat="1">
      <c r="A88" s="3"/>
      <c r="B88" s="41"/>
      <c r="C88" s="41"/>
      <c r="D88" s="41"/>
      <c r="E88" s="3"/>
      <c r="F88" s="3"/>
      <c r="G88" s="3"/>
      <c r="H88" s="3"/>
      <c r="I88" s="3"/>
      <c r="J88" s="3"/>
      <c r="K88" s="3"/>
      <c r="L88" s="3"/>
      <c r="M88" s="3"/>
    </row>
    <row r="89" spans="1:13" s="34" customFormat="1">
      <c r="A89" s="3"/>
      <c r="B89" s="41"/>
      <c r="C89" s="41"/>
      <c r="D89" s="41"/>
      <c r="E89" s="3"/>
      <c r="F89" s="3"/>
      <c r="G89" s="3"/>
      <c r="H89" s="3"/>
      <c r="I89" s="3"/>
      <c r="J89" s="3"/>
      <c r="K89" s="3"/>
      <c r="L89" s="3"/>
      <c r="M89" s="3"/>
    </row>
    <row r="90" spans="1:13" s="34" customFormat="1">
      <c r="A90" s="3"/>
      <c r="B90" s="41"/>
      <c r="C90" s="41"/>
      <c r="D90" s="41"/>
      <c r="E90" s="3"/>
      <c r="F90" s="3"/>
      <c r="G90" s="3"/>
      <c r="H90" s="3"/>
      <c r="I90" s="3"/>
      <c r="J90" s="3"/>
      <c r="K90" s="3"/>
      <c r="L90" s="3"/>
      <c r="M90" s="3"/>
    </row>
    <row r="91" spans="1:13" s="34" customFormat="1">
      <c r="A91" s="3"/>
      <c r="B91" s="41"/>
      <c r="C91" s="41"/>
      <c r="D91" s="41"/>
      <c r="E91" s="3"/>
      <c r="F91" s="3"/>
      <c r="G91" s="3"/>
      <c r="H91" s="3"/>
      <c r="I91" s="3"/>
      <c r="J91" s="3"/>
      <c r="K91" s="3"/>
      <c r="L91" s="3"/>
      <c r="M91" s="3"/>
    </row>
    <row r="92" spans="1:13" s="34" customFormat="1">
      <c r="A92" s="3"/>
      <c r="B92" s="41"/>
      <c r="C92" s="41"/>
      <c r="D92" s="41"/>
      <c r="E92" s="3"/>
      <c r="F92" s="3"/>
      <c r="G92" s="3"/>
      <c r="H92" s="3"/>
      <c r="I92" s="3"/>
      <c r="J92" s="3"/>
      <c r="K92" s="3"/>
      <c r="L92" s="3"/>
      <c r="M92" s="3"/>
    </row>
    <row r="93" spans="1:13" s="34" customFormat="1">
      <c r="A93" s="3"/>
      <c r="B93" s="41"/>
      <c r="C93" s="41"/>
      <c r="D93" s="41"/>
      <c r="E93" s="3"/>
      <c r="F93" s="3"/>
      <c r="G93" s="3"/>
      <c r="H93" s="3"/>
      <c r="I93" s="3"/>
      <c r="J93" s="3"/>
      <c r="K93" s="3"/>
      <c r="L93" s="3"/>
      <c r="M93" s="3"/>
    </row>
    <row r="94" spans="1:13" s="34" customFormat="1">
      <c r="A94" s="3"/>
      <c r="B94" s="41"/>
      <c r="C94" s="41"/>
      <c r="D94" s="41"/>
      <c r="E94" s="3"/>
      <c r="F94" s="3"/>
      <c r="G94" s="3"/>
      <c r="H94" s="3"/>
      <c r="I94" s="3"/>
      <c r="J94" s="3"/>
      <c r="K94" s="3"/>
      <c r="L94" s="3"/>
      <c r="M94" s="3"/>
    </row>
    <row r="95" spans="1:13" s="34" customFormat="1">
      <c r="A95" s="3"/>
      <c r="B95" s="41"/>
      <c r="C95" s="41"/>
      <c r="D95" s="41"/>
      <c r="E95" s="3"/>
      <c r="F95" s="3"/>
      <c r="G95" s="3"/>
      <c r="H95" s="3"/>
      <c r="I95" s="3"/>
      <c r="J95" s="3"/>
      <c r="K95" s="3"/>
      <c r="L95" s="3"/>
      <c r="M95" s="3"/>
    </row>
    <row r="96" spans="1:13" s="34" customFormat="1">
      <c r="A96" s="3"/>
      <c r="B96" s="41"/>
      <c r="C96" s="41"/>
      <c r="D96" s="41"/>
      <c r="E96" s="3"/>
      <c r="F96" s="3"/>
      <c r="G96" s="3"/>
      <c r="H96" s="3"/>
      <c r="I96" s="3"/>
      <c r="J96" s="3"/>
      <c r="K96" s="3"/>
      <c r="L96" s="3"/>
      <c r="M96" s="3"/>
    </row>
    <row r="97" spans="1:13" s="34" customFormat="1">
      <c r="A97" s="3"/>
      <c r="B97" s="41"/>
      <c r="C97" s="41"/>
      <c r="D97" s="41"/>
      <c r="E97" s="3"/>
      <c r="F97" s="3"/>
      <c r="G97" s="3"/>
      <c r="H97" s="3"/>
      <c r="I97" s="3"/>
      <c r="J97" s="3"/>
      <c r="K97" s="3"/>
      <c r="L97" s="3"/>
      <c r="M97" s="3"/>
    </row>
    <row r="98" spans="1:13" s="34" customFormat="1">
      <c r="A98" s="3"/>
      <c r="B98" s="41"/>
      <c r="C98" s="41"/>
      <c r="D98" s="41"/>
      <c r="E98" s="3"/>
      <c r="F98" s="3"/>
      <c r="G98" s="3"/>
      <c r="H98" s="3"/>
      <c r="I98" s="3"/>
      <c r="J98" s="3"/>
      <c r="K98" s="3"/>
      <c r="L98" s="3"/>
      <c r="M98" s="3"/>
    </row>
    <row r="99" spans="1:13" s="34" customFormat="1">
      <c r="A99" s="3"/>
      <c r="B99" s="41"/>
      <c r="C99" s="41"/>
      <c r="D99" s="41"/>
      <c r="E99" s="3"/>
      <c r="F99" s="3"/>
      <c r="G99" s="3"/>
      <c r="H99" s="3"/>
      <c r="I99" s="3"/>
      <c r="J99" s="3"/>
      <c r="K99" s="3"/>
      <c r="L99" s="3"/>
      <c r="M99" s="3"/>
    </row>
    <row r="100" spans="1:13" s="34" customFormat="1">
      <c r="A100" s="3"/>
      <c r="B100" s="41"/>
      <c r="C100" s="41"/>
      <c r="D100" s="41"/>
      <c r="E100" s="3"/>
      <c r="F100" s="3"/>
      <c r="G100" s="3"/>
      <c r="H100" s="3"/>
      <c r="I100" s="3"/>
      <c r="J100" s="3"/>
      <c r="K100" s="3"/>
      <c r="L100" s="3"/>
      <c r="M100" s="3"/>
    </row>
    <row r="101" spans="1:13" s="34" customFormat="1">
      <c r="A101" s="3"/>
      <c r="B101" s="41"/>
      <c r="C101" s="41"/>
      <c r="D101" s="41"/>
      <c r="E101" s="3"/>
      <c r="F101" s="3"/>
      <c r="G101" s="3"/>
      <c r="H101" s="3"/>
      <c r="I101" s="3"/>
      <c r="J101" s="3"/>
      <c r="K101" s="3"/>
      <c r="L101" s="3"/>
      <c r="M101" s="3"/>
    </row>
    <row r="102" spans="1:13" s="34" customFormat="1">
      <c r="A102" s="3"/>
      <c r="B102" s="41"/>
      <c r="C102" s="41"/>
      <c r="D102" s="41"/>
      <c r="E102" s="3"/>
      <c r="F102" s="3"/>
      <c r="G102" s="3"/>
      <c r="H102" s="3"/>
      <c r="I102" s="3"/>
      <c r="J102" s="3"/>
      <c r="K102" s="3"/>
      <c r="L102" s="3"/>
      <c r="M102" s="3"/>
    </row>
    <row r="103" spans="1:13" s="34" customFormat="1">
      <c r="A103" s="3"/>
      <c r="B103" s="41"/>
      <c r="C103" s="41"/>
      <c r="D103" s="41"/>
      <c r="E103" s="3"/>
      <c r="F103" s="3"/>
      <c r="G103" s="3"/>
      <c r="H103" s="3"/>
      <c r="I103" s="3"/>
      <c r="J103" s="3"/>
      <c r="K103" s="3"/>
      <c r="L103" s="3"/>
      <c r="M103" s="3"/>
    </row>
    <row r="104" spans="1:13" s="34" customFormat="1">
      <c r="A104" s="3"/>
      <c r="B104" s="41"/>
      <c r="C104" s="41"/>
      <c r="D104" s="41"/>
      <c r="E104" s="3"/>
      <c r="F104" s="3"/>
      <c r="G104" s="3"/>
      <c r="H104" s="3"/>
      <c r="I104" s="3"/>
      <c r="J104" s="3"/>
      <c r="K104" s="3"/>
      <c r="L104" s="3"/>
      <c r="M104" s="3"/>
    </row>
    <row r="105" spans="1:13" s="34" customFormat="1">
      <c r="A105" s="3"/>
      <c r="B105" s="41"/>
      <c r="C105" s="41"/>
      <c r="D105" s="41"/>
      <c r="E105" s="3"/>
      <c r="F105" s="3"/>
      <c r="G105" s="3"/>
      <c r="H105" s="3"/>
      <c r="I105" s="3"/>
      <c r="J105" s="3"/>
      <c r="K105" s="3"/>
      <c r="L105" s="3"/>
      <c r="M105" s="3"/>
    </row>
    <row r="106" spans="1:13" s="34" customFormat="1">
      <c r="A106" s="3"/>
      <c r="B106" s="41"/>
      <c r="C106" s="41"/>
      <c r="D106" s="41"/>
      <c r="E106" s="3"/>
      <c r="F106" s="3"/>
      <c r="G106" s="3"/>
      <c r="H106" s="3"/>
      <c r="I106" s="3"/>
      <c r="J106" s="3"/>
      <c r="K106" s="3"/>
      <c r="L106" s="3"/>
      <c r="M106" s="3"/>
    </row>
    <row r="107" spans="1:13" s="34" customFormat="1">
      <c r="A107" s="3"/>
      <c r="B107" s="41"/>
      <c r="C107" s="41"/>
      <c r="D107" s="41"/>
      <c r="E107" s="3"/>
      <c r="F107" s="3"/>
      <c r="G107" s="3"/>
      <c r="H107" s="3"/>
      <c r="I107" s="3"/>
      <c r="J107" s="3"/>
      <c r="K107" s="3"/>
      <c r="L107" s="3"/>
      <c r="M107" s="3"/>
    </row>
    <row r="108" spans="1:13" s="34" customFormat="1">
      <c r="A108" s="3"/>
      <c r="B108" s="41"/>
      <c r="C108" s="41"/>
      <c r="D108" s="41"/>
      <c r="E108" s="3"/>
      <c r="F108" s="3"/>
      <c r="G108" s="3"/>
      <c r="H108" s="3"/>
      <c r="I108" s="3"/>
      <c r="J108" s="3"/>
      <c r="K108" s="3"/>
      <c r="L108" s="3"/>
      <c r="M108" s="3"/>
    </row>
    <row r="109" spans="1:13" s="34" customFormat="1">
      <c r="A109" s="3"/>
      <c r="B109" s="41"/>
      <c r="C109" s="41"/>
      <c r="D109" s="41"/>
      <c r="E109" s="3"/>
      <c r="F109" s="3"/>
      <c r="G109" s="3"/>
      <c r="H109" s="3"/>
      <c r="I109" s="3"/>
      <c r="J109" s="3"/>
      <c r="K109" s="3"/>
      <c r="L109" s="3"/>
      <c r="M109" s="3"/>
    </row>
    <row r="110" spans="1:13" s="34" customFormat="1">
      <c r="A110" s="3"/>
      <c r="B110" s="41"/>
      <c r="C110" s="41"/>
      <c r="D110" s="41"/>
      <c r="E110" s="3"/>
      <c r="F110" s="3"/>
      <c r="G110" s="3"/>
      <c r="H110" s="3"/>
      <c r="I110" s="3"/>
      <c r="J110" s="3"/>
      <c r="K110" s="3"/>
      <c r="L110" s="3"/>
      <c r="M110" s="3"/>
    </row>
    <row r="111" spans="1:13" s="34" customFormat="1">
      <c r="A111" s="3"/>
      <c r="B111" s="41"/>
      <c r="C111" s="41"/>
      <c r="D111" s="41"/>
      <c r="E111" s="3"/>
      <c r="F111" s="3"/>
      <c r="G111" s="3"/>
      <c r="H111" s="3"/>
      <c r="I111" s="3"/>
      <c r="J111" s="3"/>
      <c r="K111" s="3"/>
      <c r="L111" s="3"/>
      <c r="M111" s="3"/>
    </row>
    <row r="112" spans="1:13" s="34" customFormat="1">
      <c r="A112" s="3"/>
      <c r="B112" s="41"/>
      <c r="C112" s="41"/>
      <c r="D112" s="41"/>
      <c r="E112" s="3"/>
      <c r="F112" s="3"/>
      <c r="G112" s="3"/>
      <c r="H112" s="3"/>
      <c r="I112" s="3"/>
      <c r="J112" s="3"/>
      <c r="K112" s="3"/>
      <c r="L112" s="3"/>
      <c r="M112" s="3"/>
    </row>
    <row r="113" spans="1:13" s="34" customFormat="1">
      <c r="A113" s="3"/>
      <c r="B113" s="41"/>
      <c r="C113" s="41"/>
      <c r="D113" s="41"/>
      <c r="E113" s="3"/>
      <c r="F113" s="3"/>
      <c r="G113" s="3"/>
      <c r="H113" s="3"/>
      <c r="I113" s="3"/>
      <c r="J113" s="3"/>
      <c r="K113" s="3"/>
      <c r="L113" s="3"/>
      <c r="M113" s="3"/>
    </row>
    <row r="114" spans="1:13" s="34" customFormat="1">
      <c r="A114" s="3"/>
      <c r="B114" s="41"/>
      <c r="C114" s="41"/>
      <c r="D114" s="41"/>
      <c r="E114" s="3"/>
      <c r="F114" s="3"/>
      <c r="G114" s="3"/>
      <c r="H114" s="3"/>
      <c r="I114" s="3"/>
      <c r="J114" s="3"/>
      <c r="K114" s="3"/>
      <c r="L114" s="3"/>
      <c r="M114" s="3"/>
    </row>
    <row r="115" spans="1:13" s="34" customFormat="1">
      <c r="A115" s="3"/>
      <c r="B115" s="41"/>
      <c r="C115" s="41"/>
      <c r="D115" s="41"/>
      <c r="E115" s="3"/>
      <c r="F115" s="3"/>
      <c r="G115" s="3"/>
      <c r="H115" s="3"/>
      <c r="I115" s="3"/>
      <c r="J115" s="3"/>
      <c r="K115" s="3"/>
      <c r="L115" s="3"/>
      <c r="M115" s="3"/>
    </row>
    <row r="116" spans="1:13" s="34" customFormat="1">
      <c r="A116" s="3"/>
      <c r="B116" s="41"/>
      <c r="C116" s="41"/>
      <c r="D116" s="41"/>
      <c r="E116" s="3"/>
      <c r="F116" s="3"/>
      <c r="G116" s="3"/>
      <c r="H116" s="3"/>
      <c r="I116" s="3"/>
      <c r="J116" s="3"/>
      <c r="K116" s="3"/>
      <c r="L116" s="3"/>
      <c r="M116" s="3"/>
    </row>
    <row r="117" spans="1:13" s="34" customFormat="1">
      <c r="A117" s="3"/>
      <c r="B117" s="41"/>
      <c r="C117" s="41"/>
      <c r="D117" s="41"/>
      <c r="E117" s="3"/>
      <c r="F117" s="3"/>
      <c r="G117" s="3"/>
      <c r="H117" s="3"/>
      <c r="I117" s="3"/>
      <c r="J117" s="3"/>
      <c r="K117" s="3"/>
      <c r="L117" s="3"/>
      <c r="M117" s="3"/>
    </row>
    <row r="118" spans="1:13" s="34" customFormat="1">
      <c r="A118" s="3"/>
      <c r="B118" s="41"/>
      <c r="C118" s="41"/>
      <c r="D118" s="41"/>
      <c r="E118" s="3"/>
      <c r="F118" s="3"/>
      <c r="G118" s="3"/>
      <c r="H118" s="3"/>
      <c r="I118" s="3"/>
      <c r="J118" s="3"/>
      <c r="K118" s="3"/>
      <c r="L118" s="3"/>
      <c r="M118" s="3"/>
    </row>
    <row r="119" spans="1:13" s="34" customFormat="1">
      <c r="A119" s="3"/>
      <c r="B119" s="41"/>
      <c r="C119" s="41"/>
      <c r="D119" s="41"/>
      <c r="E119" s="3"/>
      <c r="F119" s="3"/>
      <c r="G119" s="3"/>
      <c r="H119" s="3"/>
      <c r="I119" s="3"/>
      <c r="J119" s="3"/>
      <c r="K119" s="3"/>
      <c r="L119" s="3"/>
      <c r="M119" s="3"/>
    </row>
    <row r="120" spans="1:13" s="34" customFormat="1">
      <c r="A120" s="3"/>
      <c r="B120" s="41"/>
      <c r="C120" s="41"/>
      <c r="D120" s="41"/>
      <c r="E120" s="3"/>
      <c r="F120" s="3"/>
      <c r="G120" s="3"/>
      <c r="H120" s="3"/>
      <c r="I120" s="3"/>
      <c r="J120" s="3"/>
      <c r="K120" s="3"/>
      <c r="L120" s="3"/>
      <c r="M120" s="3"/>
    </row>
    <row r="121" spans="1:13" s="34" customFormat="1">
      <c r="A121" s="3"/>
      <c r="B121" s="41"/>
      <c r="C121" s="41"/>
      <c r="D121" s="41"/>
      <c r="E121" s="3"/>
      <c r="F121" s="3"/>
      <c r="G121" s="3"/>
      <c r="H121" s="3"/>
      <c r="I121" s="3"/>
      <c r="J121" s="3"/>
      <c r="K121" s="3"/>
      <c r="L121" s="3"/>
      <c r="M121" s="3"/>
    </row>
    <row r="122" spans="1:13" s="34" customFormat="1">
      <c r="A122" s="3"/>
      <c r="B122" s="41"/>
      <c r="C122" s="41"/>
      <c r="D122" s="41"/>
      <c r="E122" s="3"/>
      <c r="F122" s="3"/>
      <c r="G122" s="3"/>
      <c r="H122" s="3"/>
      <c r="I122" s="3"/>
      <c r="J122" s="3"/>
      <c r="K122" s="3"/>
      <c r="L122" s="3"/>
      <c r="M122" s="3"/>
    </row>
    <row r="123" spans="1:13" s="34" customFormat="1">
      <c r="A123" s="3"/>
      <c r="B123" s="41"/>
      <c r="C123" s="41"/>
      <c r="D123" s="41"/>
      <c r="E123" s="3"/>
      <c r="F123" s="3"/>
      <c r="G123" s="3"/>
      <c r="H123" s="3"/>
      <c r="I123" s="3"/>
      <c r="J123" s="3"/>
      <c r="K123" s="3"/>
      <c r="L123" s="3"/>
      <c r="M123" s="3"/>
    </row>
    <row r="124" spans="1:13" s="34" customFormat="1">
      <c r="A124" s="3"/>
      <c r="B124" s="41"/>
      <c r="C124" s="41"/>
      <c r="D124" s="41"/>
      <c r="E124" s="3"/>
      <c r="F124" s="3"/>
      <c r="G124" s="3"/>
      <c r="H124" s="3"/>
      <c r="I124" s="3"/>
      <c r="J124" s="3"/>
      <c r="K124" s="3"/>
      <c r="L124" s="3"/>
      <c r="M124" s="3"/>
    </row>
    <row r="125" spans="1:13" s="34" customFormat="1">
      <c r="A125" s="3"/>
      <c r="B125" s="41"/>
      <c r="C125" s="41"/>
      <c r="D125" s="41"/>
      <c r="E125" s="3"/>
      <c r="F125" s="3"/>
      <c r="G125" s="3"/>
      <c r="H125" s="3"/>
      <c r="I125" s="3"/>
      <c r="J125" s="3"/>
      <c r="K125" s="3"/>
      <c r="L125" s="3"/>
      <c r="M125" s="3"/>
    </row>
    <row r="126" spans="1:13" s="34" customFormat="1">
      <c r="A126" s="3"/>
      <c r="B126" s="41"/>
      <c r="C126" s="41"/>
      <c r="D126" s="41"/>
      <c r="E126" s="3"/>
      <c r="F126" s="3"/>
      <c r="G126" s="3"/>
      <c r="H126" s="3"/>
      <c r="I126" s="3"/>
      <c r="J126" s="3"/>
      <c r="K126" s="3"/>
      <c r="L126" s="3"/>
      <c r="M126" s="3"/>
    </row>
    <row r="127" spans="1:13" s="34" customFormat="1">
      <c r="A127" s="3"/>
      <c r="B127" s="41"/>
      <c r="C127" s="41"/>
      <c r="D127" s="41"/>
      <c r="E127" s="3"/>
      <c r="F127" s="3"/>
      <c r="G127" s="3"/>
      <c r="H127" s="3"/>
      <c r="I127" s="3"/>
      <c r="J127" s="3"/>
      <c r="K127" s="3"/>
      <c r="L127" s="3"/>
      <c r="M127" s="3"/>
    </row>
    <row r="128" spans="1:13" s="34" customFormat="1">
      <c r="A128" s="3"/>
      <c r="B128" s="41"/>
      <c r="C128" s="41"/>
      <c r="D128" s="41"/>
      <c r="E128" s="3"/>
      <c r="F128" s="3"/>
      <c r="G128" s="3"/>
      <c r="H128" s="3"/>
      <c r="I128" s="3"/>
      <c r="J128" s="3"/>
      <c r="K128" s="3"/>
      <c r="L128" s="3"/>
      <c r="M128" s="3"/>
    </row>
    <row r="129" spans="1:13" s="34" customFormat="1">
      <c r="A129" s="3"/>
      <c r="B129" s="41"/>
      <c r="C129" s="41"/>
      <c r="D129" s="41"/>
      <c r="E129" s="3"/>
      <c r="F129" s="3"/>
      <c r="G129" s="3"/>
      <c r="H129" s="3"/>
      <c r="I129" s="3"/>
      <c r="J129" s="3"/>
      <c r="K129" s="3"/>
      <c r="L129" s="3"/>
      <c r="M129" s="3"/>
    </row>
    <row r="130" spans="1:13" s="34" customFormat="1">
      <c r="A130" s="3"/>
      <c r="B130" s="41"/>
      <c r="C130" s="41"/>
      <c r="D130" s="41"/>
      <c r="E130" s="3"/>
      <c r="F130" s="3"/>
      <c r="G130" s="3"/>
      <c r="H130" s="3"/>
      <c r="I130" s="3"/>
      <c r="J130" s="3"/>
      <c r="K130" s="3"/>
      <c r="L130" s="3"/>
      <c r="M130" s="3"/>
    </row>
    <row r="131" spans="1:13" s="34" customFormat="1">
      <c r="A131" s="3"/>
      <c r="B131" s="41"/>
      <c r="C131" s="41"/>
      <c r="D131" s="41"/>
      <c r="E131" s="3"/>
      <c r="F131" s="3"/>
      <c r="G131" s="3"/>
      <c r="H131" s="3"/>
      <c r="I131" s="3"/>
      <c r="J131" s="3"/>
      <c r="K131" s="3"/>
      <c r="L131" s="3"/>
      <c r="M131" s="3"/>
    </row>
    <row r="132" spans="1:13" s="34" customFormat="1">
      <c r="A132" s="3"/>
      <c r="B132" s="41"/>
      <c r="C132" s="41"/>
      <c r="D132" s="41"/>
      <c r="E132" s="3"/>
      <c r="F132" s="3"/>
      <c r="G132" s="3"/>
      <c r="H132" s="3"/>
      <c r="I132" s="3"/>
      <c r="J132" s="3"/>
      <c r="K132" s="3"/>
      <c r="L132" s="3"/>
      <c r="M132" s="3"/>
    </row>
    <row r="133" spans="1:13" s="34" customFormat="1">
      <c r="A133" s="3"/>
      <c r="B133" s="41"/>
      <c r="C133" s="41"/>
      <c r="D133" s="41"/>
      <c r="E133" s="3"/>
      <c r="F133" s="3"/>
      <c r="G133" s="3"/>
      <c r="H133" s="3"/>
      <c r="I133" s="3"/>
      <c r="J133" s="3"/>
      <c r="K133" s="3"/>
      <c r="L133" s="3"/>
      <c r="M133" s="3"/>
    </row>
    <row r="134" spans="1:13" s="34" customFormat="1">
      <c r="A134" s="3"/>
      <c r="B134" s="41"/>
      <c r="C134" s="41"/>
      <c r="D134" s="41"/>
      <c r="E134" s="3"/>
      <c r="F134" s="3"/>
      <c r="G134" s="3"/>
      <c r="H134" s="3"/>
      <c r="I134" s="3"/>
      <c r="J134" s="3"/>
      <c r="K134" s="3"/>
      <c r="L134" s="3"/>
      <c r="M134" s="3"/>
    </row>
    <row r="135" spans="1:13" s="34" customFormat="1">
      <c r="A135" s="3"/>
      <c r="B135" s="41"/>
      <c r="C135" s="41"/>
      <c r="D135" s="41"/>
      <c r="E135" s="3"/>
      <c r="F135" s="3"/>
      <c r="G135" s="3"/>
      <c r="H135" s="3"/>
      <c r="I135" s="3"/>
      <c r="J135" s="3"/>
      <c r="K135" s="3"/>
      <c r="L135" s="3"/>
      <c r="M135" s="3"/>
    </row>
    <row r="136" spans="1:13" s="34" customFormat="1">
      <c r="A136" s="3"/>
      <c r="B136" s="41"/>
      <c r="C136" s="41"/>
      <c r="D136" s="41"/>
      <c r="E136" s="3"/>
      <c r="F136" s="3"/>
      <c r="G136" s="3"/>
      <c r="H136" s="3"/>
      <c r="I136" s="3"/>
      <c r="J136" s="3"/>
      <c r="K136" s="3"/>
      <c r="L136" s="3"/>
      <c r="M136" s="3"/>
    </row>
    <row r="137" spans="1:13" s="34" customFormat="1">
      <c r="A137" s="3"/>
      <c r="B137" s="41"/>
      <c r="C137" s="41"/>
      <c r="D137" s="41"/>
      <c r="E137" s="3"/>
      <c r="F137" s="3"/>
      <c r="G137" s="3"/>
      <c r="H137" s="3"/>
      <c r="I137" s="3"/>
      <c r="J137" s="3"/>
      <c r="K137" s="3"/>
      <c r="L137" s="3"/>
      <c r="M137" s="3"/>
    </row>
    <row r="138" spans="1:13" s="34" customFormat="1">
      <c r="A138" s="3"/>
      <c r="B138" s="41"/>
      <c r="C138" s="41"/>
      <c r="D138" s="41"/>
      <c r="E138" s="3"/>
      <c r="F138" s="3"/>
      <c r="G138" s="3"/>
      <c r="H138" s="3"/>
      <c r="I138" s="3"/>
      <c r="J138" s="3"/>
      <c r="K138" s="3"/>
      <c r="L138" s="3"/>
      <c r="M138" s="3"/>
    </row>
    <row r="139" spans="1:13" s="34" customFormat="1">
      <c r="A139" s="3"/>
      <c r="B139" s="41"/>
      <c r="C139" s="41"/>
      <c r="D139" s="41"/>
      <c r="E139" s="3"/>
      <c r="F139" s="3"/>
      <c r="G139" s="3"/>
      <c r="H139" s="3"/>
      <c r="I139" s="3"/>
      <c r="J139" s="3"/>
      <c r="K139" s="3"/>
      <c r="L139" s="3"/>
      <c r="M139" s="3"/>
    </row>
    <row r="140" spans="1:13" s="34" customFormat="1">
      <c r="A140" s="3"/>
      <c r="B140" s="41"/>
      <c r="C140" s="41"/>
      <c r="D140" s="41"/>
      <c r="E140" s="3"/>
      <c r="F140" s="3"/>
      <c r="G140" s="3"/>
      <c r="H140" s="3"/>
      <c r="I140" s="3"/>
      <c r="J140" s="3"/>
      <c r="K140" s="3"/>
      <c r="L140" s="3"/>
      <c r="M140" s="3"/>
    </row>
    <row r="141" spans="1:13" s="34" customFormat="1">
      <c r="A141" s="3"/>
      <c r="B141" s="41"/>
      <c r="C141" s="41"/>
      <c r="D141" s="41"/>
      <c r="E141" s="3"/>
      <c r="F141" s="3"/>
      <c r="G141" s="3"/>
      <c r="H141" s="3"/>
      <c r="I141" s="3"/>
      <c r="J141" s="3"/>
      <c r="K141" s="3"/>
      <c r="L141" s="3"/>
      <c r="M141" s="3"/>
    </row>
    <row r="142" spans="1:13" s="34" customFormat="1">
      <c r="A142" s="3"/>
      <c r="B142" s="41"/>
      <c r="C142" s="41"/>
      <c r="D142" s="41"/>
      <c r="E142" s="3"/>
      <c r="F142" s="3"/>
      <c r="G142" s="3"/>
      <c r="H142" s="3"/>
      <c r="I142" s="3"/>
      <c r="J142" s="3"/>
      <c r="K142" s="3"/>
      <c r="L142" s="3"/>
      <c r="M142" s="3"/>
    </row>
    <row r="143" spans="1:13" s="34" customFormat="1">
      <c r="A143" s="3"/>
      <c r="B143" s="41"/>
      <c r="C143" s="41"/>
      <c r="D143" s="41"/>
      <c r="E143" s="3"/>
      <c r="F143" s="3"/>
      <c r="G143" s="3"/>
      <c r="H143" s="3"/>
      <c r="I143" s="3"/>
      <c r="J143" s="3"/>
      <c r="K143" s="3"/>
      <c r="L143" s="3"/>
      <c r="M143" s="3"/>
    </row>
    <row r="144" spans="1:13" s="34" customFormat="1">
      <c r="A144" s="3"/>
      <c r="B144" s="41"/>
      <c r="C144" s="41"/>
      <c r="D144" s="41"/>
      <c r="E144" s="3"/>
      <c r="F144" s="3"/>
      <c r="G144" s="3"/>
      <c r="H144" s="3"/>
      <c r="I144" s="3"/>
      <c r="J144" s="3"/>
      <c r="K144" s="3"/>
      <c r="L144" s="3"/>
      <c r="M144" s="3"/>
    </row>
    <row r="145" spans="1:13" s="34" customFormat="1">
      <c r="A145" s="3"/>
      <c r="B145" s="41"/>
      <c r="C145" s="41"/>
      <c r="D145" s="41"/>
      <c r="E145" s="3"/>
      <c r="F145" s="3"/>
      <c r="G145" s="3"/>
      <c r="H145" s="3"/>
      <c r="I145" s="3"/>
      <c r="J145" s="3"/>
      <c r="K145" s="3"/>
      <c r="L145" s="3"/>
      <c r="M145" s="3"/>
    </row>
    <row r="146" spans="1:13" s="34" customFormat="1">
      <c r="A146" s="3"/>
      <c r="B146" s="41"/>
      <c r="C146" s="41"/>
      <c r="D146" s="41"/>
      <c r="E146" s="3"/>
      <c r="F146" s="3"/>
      <c r="G146" s="3"/>
      <c r="H146" s="3"/>
      <c r="I146" s="3"/>
      <c r="J146" s="3"/>
      <c r="K146" s="3"/>
      <c r="L146" s="3"/>
      <c r="M146" s="3"/>
    </row>
    <row r="147" spans="1:13" s="34" customFormat="1">
      <c r="A147" s="3"/>
      <c r="B147" s="41"/>
      <c r="C147" s="41"/>
      <c r="D147" s="41"/>
      <c r="E147" s="3"/>
      <c r="F147" s="3"/>
      <c r="G147" s="3"/>
      <c r="H147" s="3"/>
      <c r="I147" s="3"/>
      <c r="J147" s="3"/>
      <c r="K147" s="3"/>
      <c r="L147" s="3"/>
      <c r="M147" s="3"/>
    </row>
    <row r="148" spans="1:13" s="34" customFormat="1">
      <c r="A148" s="3"/>
      <c r="B148" s="41"/>
      <c r="C148" s="41"/>
      <c r="D148" s="41"/>
      <c r="E148" s="3"/>
      <c r="F148" s="3"/>
      <c r="G148" s="3"/>
      <c r="H148" s="3"/>
      <c r="I148" s="3"/>
      <c r="J148" s="3"/>
      <c r="K148" s="3"/>
      <c r="L148" s="3"/>
      <c r="M148" s="3"/>
    </row>
    <row r="149" spans="1:13" s="34" customFormat="1">
      <c r="A149" s="3"/>
      <c r="B149" s="41"/>
      <c r="C149" s="41"/>
      <c r="D149" s="41"/>
      <c r="E149" s="3"/>
      <c r="F149" s="3"/>
      <c r="G149" s="3"/>
      <c r="H149" s="3"/>
      <c r="I149" s="3"/>
      <c r="J149" s="3"/>
      <c r="K149" s="3"/>
      <c r="L149" s="3"/>
      <c r="M149" s="3"/>
    </row>
    <row r="150" spans="1:13" s="34" customFormat="1">
      <c r="A150" s="3"/>
      <c r="B150" s="41"/>
      <c r="C150" s="41"/>
      <c r="D150" s="41"/>
      <c r="E150" s="3"/>
      <c r="F150" s="3"/>
      <c r="G150" s="3"/>
      <c r="H150" s="3"/>
      <c r="I150" s="3"/>
      <c r="J150" s="3"/>
      <c r="K150" s="3"/>
      <c r="L150" s="3"/>
      <c r="M150" s="3"/>
    </row>
    <row r="151" spans="1:13" s="34" customFormat="1">
      <c r="A151" s="3"/>
      <c r="B151" s="41"/>
      <c r="C151" s="41"/>
      <c r="D151" s="41"/>
      <c r="E151" s="3"/>
      <c r="F151" s="3"/>
      <c r="G151" s="3"/>
      <c r="H151" s="3"/>
      <c r="I151" s="3"/>
      <c r="J151" s="3"/>
      <c r="K151" s="3"/>
      <c r="L151" s="3"/>
      <c r="M151" s="3"/>
    </row>
    <row r="152" spans="1:13" s="34" customFormat="1">
      <c r="A152" s="3"/>
      <c r="B152" s="41"/>
      <c r="C152" s="41"/>
      <c r="D152" s="41"/>
      <c r="E152" s="3"/>
      <c r="F152" s="3"/>
      <c r="G152" s="3"/>
      <c r="H152" s="3"/>
      <c r="I152" s="3"/>
      <c r="J152" s="3"/>
      <c r="K152" s="3"/>
      <c r="L152" s="3"/>
      <c r="M152" s="3"/>
    </row>
    <row r="153" spans="1:13" s="34" customFormat="1">
      <c r="A153" s="3"/>
      <c r="B153" s="41"/>
      <c r="C153" s="41"/>
      <c r="D153" s="41"/>
      <c r="E153" s="3"/>
      <c r="F153" s="3"/>
      <c r="G153" s="3"/>
      <c r="H153" s="3"/>
      <c r="I153" s="3"/>
      <c r="J153" s="3"/>
      <c r="K153" s="3"/>
      <c r="L153" s="3"/>
      <c r="M153" s="3"/>
    </row>
    <row r="154" spans="1:13" s="34" customFormat="1">
      <c r="A154" s="3"/>
      <c r="B154" s="41"/>
      <c r="C154" s="41"/>
      <c r="D154" s="41"/>
      <c r="E154" s="3"/>
      <c r="F154" s="3"/>
      <c r="G154" s="3"/>
      <c r="H154" s="3"/>
      <c r="I154" s="3"/>
      <c r="J154" s="3"/>
      <c r="K154" s="3"/>
      <c r="L154" s="3"/>
      <c r="M154" s="3"/>
    </row>
    <row r="155" spans="1:13" s="34" customFormat="1">
      <c r="A155" s="3"/>
      <c r="B155" s="41"/>
      <c r="C155" s="41"/>
      <c r="D155" s="41"/>
      <c r="E155" s="3"/>
      <c r="F155" s="3"/>
      <c r="G155" s="3"/>
      <c r="H155" s="3"/>
      <c r="I155" s="3"/>
      <c r="J155" s="3"/>
      <c r="K155" s="3"/>
      <c r="L155" s="3"/>
      <c r="M155" s="3"/>
    </row>
    <row r="156" spans="1:13" s="34" customFormat="1">
      <c r="A156" s="3"/>
      <c r="B156" s="41"/>
      <c r="C156" s="41"/>
      <c r="D156" s="41"/>
      <c r="E156" s="3"/>
      <c r="F156" s="3"/>
      <c r="G156" s="3"/>
      <c r="H156" s="3"/>
      <c r="I156" s="3"/>
      <c r="J156" s="3"/>
      <c r="K156" s="3"/>
      <c r="L156" s="3"/>
      <c r="M156" s="3"/>
    </row>
    <row r="157" spans="1:13" s="34" customFormat="1">
      <c r="A157" s="3"/>
      <c r="B157" s="41"/>
      <c r="C157" s="41"/>
      <c r="D157" s="41"/>
      <c r="E157" s="3"/>
      <c r="F157" s="3"/>
      <c r="G157" s="3"/>
      <c r="H157" s="3"/>
      <c r="I157" s="3"/>
      <c r="J157" s="3"/>
      <c r="K157" s="3"/>
      <c r="L157" s="3"/>
      <c r="M157" s="3"/>
    </row>
    <row r="158" spans="1:13" s="34" customFormat="1">
      <c r="A158" s="3"/>
      <c r="B158" s="41"/>
      <c r="C158" s="41"/>
      <c r="D158" s="41"/>
      <c r="E158" s="3"/>
      <c r="F158" s="3"/>
      <c r="G158" s="3"/>
      <c r="H158" s="3"/>
      <c r="I158" s="3"/>
      <c r="J158" s="3"/>
      <c r="K158" s="3"/>
      <c r="L158" s="3"/>
      <c r="M158" s="3"/>
    </row>
    <row r="159" spans="1:13" s="34" customFormat="1">
      <c r="A159" s="3"/>
      <c r="B159" s="41"/>
      <c r="C159" s="41"/>
      <c r="D159" s="41"/>
      <c r="E159" s="3"/>
      <c r="F159" s="3"/>
      <c r="G159" s="3"/>
      <c r="H159" s="3"/>
      <c r="I159" s="3"/>
      <c r="J159" s="3"/>
      <c r="K159" s="3"/>
      <c r="L159" s="3"/>
      <c r="M159" s="3"/>
    </row>
    <row r="160" spans="1:13" s="34" customFormat="1">
      <c r="A160" s="3"/>
      <c r="B160" s="41"/>
      <c r="C160" s="41"/>
      <c r="D160" s="41"/>
      <c r="E160" s="3"/>
      <c r="F160" s="3"/>
      <c r="G160" s="3"/>
      <c r="H160" s="3"/>
      <c r="I160" s="3"/>
      <c r="J160" s="3"/>
      <c r="K160" s="3"/>
      <c r="L160" s="3"/>
      <c r="M160" s="3"/>
    </row>
    <row r="161" spans="1:13" s="34" customFormat="1">
      <c r="A161" s="3"/>
      <c r="B161" s="41"/>
      <c r="C161" s="41"/>
      <c r="D161" s="41"/>
      <c r="E161" s="3"/>
      <c r="F161" s="3"/>
      <c r="G161" s="3"/>
      <c r="H161" s="3"/>
      <c r="I161" s="3"/>
      <c r="J161" s="3"/>
      <c r="K161" s="3"/>
      <c r="L161" s="3"/>
      <c r="M161" s="3"/>
    </row>
    <row r="162" spans="1:13" s="34" customFormat="1">
      <c r="A162" s="3"/>
      <c r="B162" s="41"/>
      <c r="C162" s="41"/>
      <c r="D162" s="41"/>
      <c r="E162" s="3"/>
      <c r="F162" s="3"/>
      <c r="G162" s="3"/>
      <c r="H162" s="3"/>
      <c r="I162" s="3"/>
      <c r="J162" s="3"/>
      <c r="K162" s="3"/>
      <c r="L162" s="3"/>
      <c r="M162" s="3"/>
    </row>
    <row r="163" spans="1:13" s="34" customFormat="1">
      <c r="A163" s="3"/>
      <c r="B163" s="41"/>
      <c r="C163" s="41"/>
      <c r="D163" s="41"/>
      <c r="E163" s="3"/>
      <c r="F163" s="3"/>
      <c r="G163" s="3"/>
      <c r="H163" s="3"/>
      <c r="I163" s="3"/>
      <c r="J163" s="3"/>
      <c r="K163" s="3"/>
      <c r="L163" s="3"/>
      <c r="M163" s="3"/>
    </row>
    <row r="164" spans="1:13" s="34" customFormat="1">
      <c r="A164" s="3"/>
      <c r="B164" s="41"/>
      <c r="C164" s="41"/>
      <c r="D164" s="41"/>
      <c r="E164" s="3"/>
      <c r="F164" s="3"/>
      <c r="G164" s="3"/>
      <c r="H164" s="3"/>
      <c r="I164" s="3"/>
      <c r="J164" s="3"/>
      <c r="K164" s="3"/>
      <c r="L164" s="3"/>
      <c r="M164" s="3"/>
    </row>
    <row r="165" spans="1:13" s="34" customFormat="1">
      <c r="A165" s="3"/>
      <c r="B165" s="41"/>
      <c r="C165" s="41"/>
      <c r="D165" s="41"/>
      <c r="E165" s="3"/>
      <c r="F165" s="3"/>
      <c r="G165" s="3"/>
      <c r="H165" s="3"/>
      <c r="I165" s="3"/>
      <c r="J165" s="3"/>
      <c r="K165" s="3"/>
      <c r="L165" s="3"/>
      <c r="M165" s="3"/>
    </row>
    <row r="166" spans="1:13" s="34" customFormat="1">
      <c r="A166" s="3"/>
      <c r="B166" s="41"/>
      <c r="C166" s="41"/>
      <c r="D166" s="41"/>
      <c r="E166" s="3"/>
      <c r="F166" s="3"/>
      <c r="G166" s="3"/>
      <c r="H166" s="3"/>
      <c r="I166" s="3"/>
      <c r="J166" s="3"/>
      <c r="K166" s="3"/>
      <c r="L166" s="3"/>
      <c r="M166" s="3"/>
    </row>
    <row r="167" spans="1:13" s="34" customFormat="1">
      <c r="A167" s="3"/>
      <c r="B167" s="41"/>
      <c r="C167" s="41"/>
      <c r="D167" s="41"/>
      <c r="E167" s="3"/>
      <c r="F167" s="3"/>
      <c r="G167" s="3"/>
      <c r="H167" s="3"/>
      <c r="I167" s="3"/>
      <c r="J167" s="3"/>
      <c r="K167" s="3"/>
      <c r="L167" s="3"/>
      <c r="M167" s="3"/>
    </row>
    <row r="168" spans="1:13" s="34" customFormat="1">
      <c r="A168" s="3"/>
      <c r="B168" s="41"/>
      <c r="C168" s="41"/>
      <c r="D168" s="41"/>
      <c r="E168" s="3"/>
      <c r="F168" s="3"/>
      <c r="G168" s="3"/>
      <c r="H168" s="3"/>
      <c r="I168" s="3"/>
      <c r="J168" s="3"/>
      <c r="K168" s="3"/>
      <c r="L168" s="3"/>
      <c r="M168" s="3"/>
    </row>
    <row r="169" spans="1:13" s="34" customFormat="1">
      <c r="A169" s="3"/>
      <c r="B169" s="41"/>
      <c r="C169" s="41"/>
      <c r="D169" s="41"/>
      <c r="E169" s="3"/>
      <c r="F169" s="3"/>
      <c r="G169" s="3"/>
      <c r="H169" s="3"/>
      <c r="I169" s="3"/>
      <c r="J169" s="3"/>
      <c r="K169" s="3"/>
      <c r="L169" s="3"/>
      <c r="M169" s="3"/>
    </row>
    <row r="170" spans="1:13" s="34" customFormat="1">
      <c r="A170" s="3"/>
      <c r="B170" s="41"/>
      <c r="C170" s="41"/>
      <c r="D170" s="41"/>
      <c r="E170" s="3"/>
      <c r="F170" s="3"/>
      <c r="G170" s="3"/>
      <c r="H170" s="3"/>
      <c r="I170" s="3"/>
      <c r="J170" s="3"/>
      <c r="K170" s="3"/>
      <c r="L170" s="3"/>
      <c r="M170" s="3"/>
    </row>
    <row r="171" spans="1:13" s="34" customFormat="1">
      <c r="A171" s="3"/>
      <c r="B171" s="41"/>
      <c r="C171" s="41"/>
      <c r="D171" s="41"/>
      <c r="E171" s="3"/>
      <c r="F171" s="3"/>
      <c r="G171" s="3"/>
      <c r="H171" s="3"/>
      <c r="I171" s="3"/>
      <c r="J171" s="3"/>
      <c r="K171" s="3"/>
      <c r="L171" s="3"/>
      <c r="M171" s="3"/>
    </row>
    <row r="172" spans="1:13" s="34" customFormat="1">
      <c r="A172" s="3"/>
      <c r="B172" s="41"/>
      <c r="C172" s="41"/>
      <c r="D172" s="41"/>
      <c r="E172" s="3"/>
      <c r="F172" s="3"/>
      <c r="G172" s="3"/>
      <c r="H172" s="3"/>
      <c r="I172" s="3"/>
      <c r="J172" s="3"/>
      <c r="K172" s="3"/>
      <c r="L172" s="3"/>
      <c r="M172" s="3"/>
    </row>
    <row r="173" spans="1:13" s="34" customFormat="1">
      <c r="A173" s="3"/>
      <c r="B173" s="41"/>
      <c r="C173" s="41"/>
      <c r="D173" s="41"/>
      <c r="E173" s="3"/>
      <c r="F173" s="3"/>
      <c r="G173" s="3"/>
      <c r="H173" s="3"/>
      <c r="I173" s="3"/>
      <c r="J173" s="3"/>
      <c r="K173" s="3"/>
      <c r="L173" s="3"/>
      <c r="M173" s="3"/>
    </row>
    <row r="174" spans="1:13" s="34" customFormat="1">
      <c r="A174" s="3"/>
      <c r="B174" s="41"/>
      <c r="C174" s="41"/>
      <c r="D174" s="41"/>
      <c r="E174" s="3"/>
      <c r="F174" s="3"/>
      <c r="G174" s="3"/>
      <c r="H174" s="3"/>
      <c r="I174" s="3"/>
      <c r="J174" s="3"/>
      <c r="K174" s="3"/>
      <c r="L174" s="3"/>
      <c r="M174" s="3"/>
    </row>
    <row r="175" spans="1:13" s="34" customFormat="1">
      <c r="A175" s="3"/>
      <c r="B175" s="41"/>
      <c r="C175" s="41"/>
      <c r="D175" s="41"/>
      <c r="E175" s="3"/>
      <c r="F175" s="3"/>
      <c r="G175" s="3"/>
      <c r="H175" s="3"/>
      <c r="I175" s="3"/>
      <c r="J175" s="3"/>
      <c r="K175" s="3"/>
      <c r="L175" s="3"/>
      <c r="M175" s="3"/>
    </row>
    <row r="176" spans="1:13" s="34" customFormat="1">
      <c r="A176" s="3"/>
      <c r="B176" s="41"/>
      <c r="C176" s="41"/>
      <c r="D176" s="41"/>
      <c r="E176" s="3"/>
      <c r="F176" s="3"/>
      <c r="G176" s="3"/>
      <c r="H176" s="3"/>
      <c r="I176" s="3"/>
      <c r="J176" s="3"/>
      <c r="K176" s="3"/>
      <c r="L176" s="3"/>
      <c r="M176" s="3"/>
    </row>
    <row r="177" spans="1:13" s="34" customFormat="1">
      <c r="A177" s="3"/>
      <c r="B177" s="41"/>
      <c r="C177" s="41"/>
      <c r="D177" s="41"/>
      <c r="E177" s="3"/>
      <c r="F177" s="3"/>
      <c r="G177" s="3"/>
      <c r="H177" s="3"/>
      <c r="I177" s="3"/>
      <c r="J177" s="3"/>
      <c r="K177" s="3"/>
      <c r="L177" s="3"/>
      <c r="M177" s="3"/>
    </row>
    <row r="178" spans="1:13" s="34" customFormat="1">
      <c r="A178" s="3"/>
      <c r="B178" s="41"/>
      <c r="C178" s="41"/>
      <c r="D178" s="41"/>
      <c r="E178" s="3"/>
      <c r="F178" s="3"/>
      <c r="G178" s="3"/>
      <c r="H178" s="3"/>
      <c r="I178" s="3"/>
      <c r="J178" s="3"/>
      <c r="K178" s="3"/>
      <c r="L178" s="3"/>
      <c r="M178" s="3"/>
    </row>
    <row r="179" spans="1:13" s="34" customFormat="1">
      <c r="A179" s="3"/>
      <c r="B179" s="41"/>
      <c r="C179" s="41"/>
      <c r="D179" s="41"/>
      <c r="E179" s="3"/>
      <c r="F179" s="3"/>
      <c r="G179" s="3"/>
      <c r="H179" s="3"/>
      <c r="I179" s="3"/>
      <c r="J179" s="3"/>
      <c r="K179" s="3"/>
      <c r="L179" s="3"/>
      <c r="M179" s="3"/>
    </row>
    <row r="180" spans="1:13" s="34" customFormat="1">
      <c r="A180" s="3"/>
      <c r="B180" s="41"/>
      <c r="C180" s="41"/>
      <c r="D180" s="41"/>
      <c r="E180" s="3"/>
      <c r="F180" s="3"/>
      <c r="G180" s="3"/>
      <c r="H180" s="3"/>
      <c r="I180" s="3"/>
      <c r="J180" s="3"/>
      <c r="K180" s="3"/>
      <c r="L180" s="3"/>
      <c r="M180" s="3"/>
    </row>
    <row r="181" spans="1:13" s="34" customFormat="1">
      <c r="A181" s="3"/>
      <c r="B181" s="41"/>
      <c r="C181" s="41"/>
      <c r="D181" s="41"/>
      <c r="E181" s="3"/>
      <c r="F181" s="3"/>
      <c r="G181" s="3"/>
      <c r="H181" s="3"/>
      <c r="I181" s="3"/>
      <c r="J181" s="3"/>
      <c r="K181" s="3"/>
      <c r="L181" s="3"/>
      <c r="M181" s="3"/>
    </row>
    <row r="182" spans="1:13" s="34" customFormat="1">
      <c r="A182" s="3"/>
      <c r="B182" s="41"/>
      <c r="C182" s="41"/>
      <c r="D182" s="41"/>
      <c r="E182" s="3"/>
      <c r="F182" s="3"/>
      <c r="G182" s="3"/>
      <c r="H182" s="3"/>
      <c r="I182" s="3"/>
      <c r="J182" s="3"/>
      <c r="K182" s="3"/>
      <c r="L182" s="3"/>
      <c r="M182" s="3"/>
    </row>
    <row r="183" spans="1:13" s="34" customFormat="1">
      <c r="A183" s="3"/>
      <c r="B183" s="41"/>
      <c r="C183" s="41"/>
      <c r="D183" s="41"/>
      <c r="E183" s="3"/>
      <c r="F183" s="3"/>
      <c r="G183" s="3"/>
      <c r="H183" s="3"/>
      <c r="I183" s="3"/>
      <c r="J183" s="3"/>
      <c r="K183" s="3"/>
      <c r="L183" s="3"/>
      <c r="M183" s="3"/>
    </row>
    <row r="184" spans="1:13" s="34" customFormat="1">
      <c r="A184" s="3"/>
      <c r="B184" s="41"/>
      <c r="C184" s="41"/>
      <c r="D184" s="41"/>
      <c r="E184" s="3"/>
      <c r="F184" s="3"/>
      <c r="G184" s="3"/>
      <c r="H184" s="3"/>
      <c r="I184" s="3"/>
      <c r="J184" s="3"/>
      <c r="K184" s="3"/>
      <c r="L184" s="3"/>
      <c r="M184" s="3"/>
    </row>
    <row r="185" spans="1:13" s="34" customFormat="1">
      <c r="A185" s="3"/>
      <c r="B185" s="41"/>
      <c r="C185" s="41"/>
      <c r="D185" s="41"/>
      <c r="E185" s="3"/>
      <c r="F185" s="3"/>
      <c r="G185" s="3"/>
      <c r="H185" s="3"/>
      <c r="I185" s="3"/>
      <c r="J185" s="3"/>
      <c r="K185" s="3"/>
      <c r="L185" s="3"/>
      <c r="M185" s="3"/>
    </row>
    <row r="186" spans="1:13" s="34" customFormat="1">
      <c r="A186" s="3"/>
      <c r="B186" s="41"/>
      <c r="C186" s="41"/>
      <c r="D186" s="41"/>
      <c r="E186" s="3"/>
      <c r="F186" s="3"/>
      <c r="G186" s="3"/>
      <c r="H186" s="3"/>
      <c r="I186" s="3"/>
      <c r="J186" s="3"/>
      <c r="K186" s="3"/>
      <c r="L186" s="3"/>
      <c r="M186" s="3"/>
    </row>
    <row r="187" spans="1:13" s="34" customFormat="1">
      <c r="A187" s="3"/>
      <c r="B187" s="41"/>
      <c r="C187" s="41"/>
      <c r="D187" s="41"/>
      <c r="E187" s="3"/>
      <c r="F187" s="3"/>
      <c r="G187" s="3"/>
      <c r="H187" s="3"/>
      <c r="I187" s="3"/>
      <c r="J187" s="3"/>
      <c r="K187" s="3"/>
      <c r="L187" s="3"/>
      <c r="M187" s="3"/>
    </row>
    <row r="188" spans="1:13" s="34" customFormat="1">
      <c r="A188" s="3"/>
      <c r="B188" s="41"/>
      <c r="C188" s="41"/>
      <c r="D188" s="41"/>
      <c r="E188" s="3"/>
      <c r="F188" s="3"/>
      <c r="G188" s="3"/>
      <c r="H188" s="3"/>
      <c r="I188" s="3"/>
      <c r="J188" s="3"/>
      <c r="K188" s="3"/>
      <c r="L188" s="3"/>
      <c r="M188" s="3"/>
    </row>
    <row r="189" spans="1:13" s="34" customFormat="1">
      <c r="A189" s="3"/>
      <c r="B189" s="41"/>
      <c r="C189" s="41"/>
      <c r="D189" s="41"/>
      <c r="E189" s="3"/>
      <c r="F189" s="3"/>
      <c r="G189" s="3"/>
      <c r="H189" s="3"/>
      <c r="I189" s="3"/>
      <c r="J189" s="3"/>
      <c r="K189" s="3"/>
      <c r="L189" s="3"/>
      <c r="M189" s="3"/>
    </row>
    <row r="190" spans="1:13" s="34" customFormat="1">
      <c r="A190" s="3"/>
      <c r="B190" s="41"/>
      <c r="C190" s="41"/>
      <c r="D190" s="41"/>
      <c r="E190" s="3"/>
      <c r="F190" s="3"/>
      <c r="G190" s="3"/>
      <c r="H190" s="3"/>
      <c r="I190" s="3"/>
      <c r="J190" s="3"/>
      <c r="K190" s="3"/>
      <c r="L190" s="3"/>
      <c r="M190" s="3"/>
    </row>
    <row r="191" spans="1:13" s="34" customForma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</row>
    <row r="192" spans="1:13" s="34" customForma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</row>
    <row r="193" spans="1:13" s="34" customForma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</row>
    <row r="194" spans="1:13" s="34" customForma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</row>
    <row r="195" spans="1:13" s="34" customForma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</row>
    <row r="196" spans="1:13" s="34" customForma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</row>
    <row r="197" spans="1:13" s="34" customForma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</row>
    <row r="198" spans="1:13" s="34" customForma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</row>
    <row r="199" spans="1:13" s="34" customForma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</row>
    <row r="200" spans="1:13" s="34" customForma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</row>
    <row r="201" spans="1:13" s="34" customForma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</row>
    <row r="202" spans="1:13" s="34" customForma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</row>
    <row r="203" spans="1:13" s="34" customForma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</row>
    <row r="204" spans="1:13" s="34" customForma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</row>
    <row r="205" spans="1:13" s="34" customForma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</row>
    <row r="206" spans="1:13" s="34" customForma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</row>
    <row r="207" spans="1:13" s="34" customForma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</row>
    <row r="208" spans="1:13" s="34" customForma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</row>
    <row r="209" spans="1:13" s="34" customForma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</row>
    <row r="210" spans="1:13" s="34" customForma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</row>
    <row r="211" spans="1:13" s="34" customForma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</row>
    <row r="212" spans="1:13" s="34" customForma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</row>
    <row r="213" spans="1:13" s="34" customForma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</row>
    <row r="214" spans="1:13" s="34" customForma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</row>
    <row r="215" spans="1:13" s="34" customForma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</row>
    <row r="216" spans="1:13" s="34" customForma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</row>
    <row r="217" spans="1:13" s="34" customForma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</row>
    <row r="218" spans="1:13" s="34" customForma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</row>
    <row r="219" spans="1:13" s="34" customForma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</row>
    <row r="220" spans="1:13" s="34" customForma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</row>
    <row r="221" spans="1:13" s="34" customForma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</row>
    <row r="222" spans="1:13" s="34" customForma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</row>
    <row r="223" spans="1:13" s="34" customForma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</row>
    <row r="224" spans="1:13" s="34" customForma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</row>
    <row r="225" spans="1:13" s="34" customForma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</row>
    <row r="226" spans="1:13" s="34" customForma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</row>
    <row r="227" spans="1:13" s="34" customForma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</row>
    <row r="228" spans="1:13" s="34" customForma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</row>
    <row r="229" spans="1:13" s="34" customForma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</row>
    <row r="230" spans="1:13" s="34" customForma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</row>
    <row r="231" spans="1:13" s="34" customForma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</row>
    <row r="232" spans="1:13" s="34" customForma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</row>
    <row r="233" spans="1:13" s="34" customForma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</row>
    <row r="234" spans="1:13" s="34" customForma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</row>
    <row r="235" spans="1:13" s="34" customForma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</row>
    <row r="236" spans="1:13" s="34" customForma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</row>
    <row r="237" spans="1:13" s="34" customForma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</row>
    <row r="238" spans="1:13" s="34" customForma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</row>
    <row r="239" spans="1:13" s="34" customForma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</row>
    <row r="240" spans="1:13" s="34" customForma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</row>
    <row r="241" spans="1:13" s="34" customForma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</row>
    <row r="242" spans="1:13" s="34" customForma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</row>
    <row r="243" spans="1:13" s="34" customForma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</row>
    <row r="244" spans="1:13" s="34" customForma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</row>
    <row r="245" spans="1:13" s="34" customForma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</row>
    <row r="246" spans="1:13" s="34" customForma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</row>
    <row r="247" spans="1:13" s="34" customForma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</row>
    <row r="248" spans="1:13" s="34" customForma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</row>
    <row r="249" spans="1:13" s="34" customForma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</row>
    <row r="250" spans="1:13" s="34" customForma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</row>
    <row r="251" spans="1:13" s="34" customForma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</row>
    <row r="252" spans="1:13" s="34" customForma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</row>
    <row r="253" spans="1:13" s="34" customForma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</row>
    <row r="254" spans="1:13" s="34" customForma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</row>
    <row r="255" spans="1:13" s="34" customForma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</row>
    <row r="256" spans="1:13" s="34" customForma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</row>
    <row r="257" spans="1:13" s="34" customForma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</row>
    <row r="258" spans="1:13" s="34" customForma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</row>
    <row r="259" spans="1:13" s="34" customForma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</row>
    <row r="260" spans="1:13" s="34" customForma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</row>
    <row r="261" spans="1:13" s="34" customForma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</row>
    <row r="262" spans="1:13" s="34" customForma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</row>
    <row r="263" spans="1:13" s="34" customForma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</row>
    <row r="264" spans="1:13" s="34" customForma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</row>
    <row r="265" spans="1:13" s="34" customForma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</row>
    <row r="266" spans="1:13" s="34" customForma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</row>
    <row r="267" spans="1:13" s="34" customForma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</row>
    <row r="268" spans="1:13" s="34" customForma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</row>
    <row r="269" spans="1:13" s="34" customForma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</row>
    <row r="270" spans="1:13" s="34" customForma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</row>
    <row r="271" spans="1:13" s="34" customForma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</row>
    <row r="272" spans="1:13" s="34" customForma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</row>
    <row r="273" spans="1:13" s="34" customForma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</row>
    <row r="274" spans="1:13" s="34" customForma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</row>
    <row r="275" spans="1:13" s="34" customForma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</row>
    <row r="276" spans="1:13" s="34" customForma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</row>
    <row r="277" spans="1:13" s="34" customForma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</row>
    <row r="278" spans="1:13" s="34" customForma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</row>
    <row r="279" spans="1:13" s="34" customForma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</row>
    <row r="280" spans="1:13" s="34" customForma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</row>
    <row r="281" spans="1:13" s="34" customForma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</row>
    <row r="282" spans="1:13" s="34" customForma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</row>
    <row r="283" spans="1:13" s="34" customForma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</row>
    <row r="284" spans="1:13" s="34" customForma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</row>
    <row r="285" spans="1:13" s="34" customForma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</row>
    <row r="286" spans="1:13" s="34" customForma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</row>
    <row r="287" spans="1:13" s="34" customForma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</row>
    <row r="288" spans="1:13" s="34" customForma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</row>
    <row r="289" spans="1:13" s="34" customForma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</row>
    <row r="290" spans="1:13" s="34" customForma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</row>
    <row r="291" spans="1:13" s="34" customForma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</row>
    <row r="292" spans="1:13" s="34" customForma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</row>
    <row r="293" spans="1:13" s="34" customForma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</row>
    <row r="294" spans="1:13" s="34" customForma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</row>
    <row r="295" spans="1:13" s="34" customForma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</row>
    <row r="296" spans="1:13" s="34" customForma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</row>
    <row r="297" spans="1:13" s="34" customForma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</row>
    <row r="298" spans="1:13" s="34" customForma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</row>
    <row r="299" spans="1:13" s="34" customForma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</row>
    <row r="300" spans="1:13" s="34" customForma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</row>
    <row r="301" spans="1:13" s="34" customForma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</row>
    <row r="302" spans="1:13" s="34" customForma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</row>
    <row r="303" spans="1:13" s="34" customForma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</row>
    <row r="304" spans="1:13" s="34" customForma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</row>
    <row r="305" spans="1:13" s="34" customForma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</row>
    <row r="306" spans="1:13" s="34" customForma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</row>
    <row r="307" spans="1:13" s="34" customForma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</row>
    <row r="308" spans="1:13" s="34" customForma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</row>
    <row r="309" spans="1:13" s="34" customForma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</row>
    <row r="310" spans="1:13" s="34" customForma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</row>
    <row r="311" spans="1:13" s="34" customForma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</row>
    <row r="312" spans="1:13" s="34" customForma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</row>
    <row r="313" spans="1:13" s="34" customForma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</row>
    <row r="314" spans="1:13" s="34" customForma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</row>
    <row r="315" spans="1:13" s="34" customForma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</row>
    <row r="316" spans="1:13" s="34" customForma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</row>
    <row r="317" spans="1:13" s="34" customForma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</row>
    <row r="318" spans="1:13" s="34" customForma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</row>
    <row r="319" spans="1:13" s="34" customForma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</row>
    <row r="320" spans="1:13" s="34" customForma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</row>
    <row r="321" spans="1:13" s="34" customForma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</row>
    <row r="322" spans="1:13" s="34" customForma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</row>
    <row r="323" spans="1:13" s="34" customForma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</row>
    <row r="324" spans="1:13" s="34" customForma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</row>
    <row r="325" spans="1:13" s="34" customForma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</row>
    <row r="326" spans="1:13" s="34" customForma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</row>
    <row r="327" spans="1:13" s="34" customForma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</row>
    <row r="328" spans="1:13" s="34" customForma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</row>
    <row r="329" spans="1:13" s="34" customForma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</row>
    <row r="330" spans="1:13" s="34" customForma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</row>
    <row r="331" spans="1:13" s="34" customForma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</row>
    <row r="332" spans="1:13" s="34" customForma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</row>
    <row r="333" spans="1:13" s="34" customForma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</row>
    <row r="334" spans="1:13" s="34" customForma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</row>
    <row r="335" spans="1:13" s="34" customForma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</row>
    <row r="336" spans="1:13" s="34" customForma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</row>
    <row r="337" spans="1:13" s="34" customForma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</row>
    <row r="338" spans="1:13" s="34" customForma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</row>
    <row r="339" spans="1:13" s="34" customForma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</row>
    <row r="340" spans="1:13" s="34" customForma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</row>
    <row r="341" spans="1:13" s="34" customForma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</row>
    <row r="342" spans="1:13" s="34" customForma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</row>
    <row r="343" spans="1:13" s="34" customForma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</row>
    <row r="344" spans="1:13" s="34" customForma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</row>
    <row r="345" spans="1:13" s="34" customForma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</row>
    <row r="346" spans="1:13" s="34" customForma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</row>
    <row r="347" spans="1:13" s="34" customForma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</row>
    <row r="348" spans="1:13" s="34" customForma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</row>
    <row r="349" spans="1:13" s="34" customForma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</row>
    <row r="350" spans="1:13" s="34" customForma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</row>
    <row r="351" spans="1:13" s="34" customForma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</row>
    <row r="352" spans="1:13" s="34" customForma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</row>
    <row r="353" spans="1:13" s="34" customForma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</row>
    <row r="354" spans="1:13" s="34" customForma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</row>
    <row r="355" spans="1:13" s="34" customForma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</row>
    <row r="356" spans="1:13" s="34" customForma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</row>
    <row r="357" spans="1:13" s="34" customForma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</row>
    <row r="358" spans="1:13" s="34" customForma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</row>
    <row r="359" spans="1:13" s="34" customForma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</row>
    <row r="360" spans="1:13" s="34" customForma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</row>
    <row r="361" spans="1:13" s="34" customForma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</row>
    <row r="362" spans="1:13" s="34" customForma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</row>
    <row r="363" spans="1:13" s="34" customForma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</row>
    <row r="364" spans="1:13" s="34" customForma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</row>
    <row r="365" spans="1:13" s="34" customForma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</row>
    <row r="366" spans="1:13" s="34" customForma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</row>
    <row r="367" spans="1:13" s="34" customForma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</row>
    <row r="368" spans="1:13" s="34" customForma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</row>
    <row r="369" spans="1:13" s="34" customForma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</row>
    <row r="370" spans="1:13" s="34" customForma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</row>
    <row r="371" spans="1:13" s="34" customForma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</row>
    <row r="372" spans="1:13" s="34" customForma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</row>
    <row r="373" spans="1:13" s="34" customForma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</row>
    <row r="374" spans="1:13" s="34" customForma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</row>
    <row r="375" spans="1:13" s="34" customForma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</row>
    <row r="376" spans="1:13" s="34" customForma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</row>
    <row r="377" spans="1:13" s="34" customForma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</row>
    <row r="378" spans="1:13" s="34" customForma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</row>
    <row r="379" spans="1:13" s="34" customForma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</row>
    <row r="380" spans="1:13" s="34" customForma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</row>
    <row r="381" spans="1:13" s="34" customForma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</row>
    <row r="382" spans="1:13" s="34" customForma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</row>
    <row r="383" spans="1:13" s="34" customForma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</row>
    <row r="384" spans="1:13" s="34" customForma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</row>
    <row r="385" spans="1:13" s="34" customForma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</row>
    <row r="386" spans="1:13" s="34" customForma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</row>
    <row r="387" spans="1:13" s="34" customForma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</row>
    <row r="388" spans="1:13" s="34" customForma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</row>
    <row r="389" spans="1:13" s="34" customForma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</row>
    <row r="390" spans="1:13" s="34" customForma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</row>
    <row r="391" spans="1:13" s="34" customForma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</row>
    <row r="392" spans="1:13" s="34" customForma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</row>
    <row r="393" spans="1:13" s="34" customForma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</row>
    <row r="394" spans="1:13" s="34" customForma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</row>
    <row r="395" spans="1:13" s="34" customForma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</row>
    <row r="396" spans="1:13" s="34" customForma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</row>
    <row r="397" spans="1:13" s="34" customForma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</row>
    <row r="398" spans="1:13" s="34" customForma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</row>
    <row r="399" spans="1:13" s="34" customForma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</row>
    <row r="400" spans="1:13" s="34" customForma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</row>
    <row r="401" spans="1:13" s="34" customForma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</row>
    <row r="402" spans="1:13" s="34" customForma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</row>
    <row r="403" spans="1:13" s="34" customForma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</row>
    <row r="404" spans="1:13" s="34" customForma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</row>
    <row r="405" spans="1:13" s="34" customForma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</row>
    <row r="406" spans="1:13" s="34" customForma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</row>
    <row r="407" spans="1:13" s="34" customForma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</row>
    <row r="408" spans="1:13" s="34" customForma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</row>
    <row r="409" spans="1:13" s="34" customForma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</row>
    <row r="410" spans="1:13" s="34" customForma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</row>
    <row r="411" spans="1:13" s="34" customForma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</row>
    <row r="412" spans="1:13" s="34" customForma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</row>
    <row r="413" spans="1:13" s="34" customForma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</row>
    <row r="414" spans="1:13" s="34" customForma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</row>
    <row r="415" spans="1:13" s="34" customForma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</row>
    <row r="416" spans="1:13" s="34" customForma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</row>
    <row r="417" spans="1:13" s="34" customForma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</row>
    <row r="418" spans="1:13" s="34" customForma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</row>
    <row r="419" spans="1:13" s="34" customForma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</row>
    <row r="420" spans="1:13" s="34" customForma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</row>
    <row r="421" spans="1:13" s="34" customForma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</row>
    <row r="422" spans="1:13" s="34" customForma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</row>
    <row r="423" spans="1:13" s="34" customForma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</row>
    <row r="424" spans="1:13" s="34" customForma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</row>
    <row r="425" spans="1:13" s="34" customForma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</row>
    <row r="426" spans="1:13" s="34" customForma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</row>
    <row r="427" spans="1:13" s="34" customForma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</row>
    <row r="428" spans="1:13" s="34" customForma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</row>
    <row r="429" spans="1:13" s="34" customForma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</row>
    <row r="430" spans="1:13" s="34" customForma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</row>
    <row r="431" spans="1:13" s="34" customForma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</row>
    <row r="432" spans="1:13" s="34" customForma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</row>
    <row r="433" spans="1:13" s="34" customForma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</row>
    <row r="434" spans="1:13" s="34" customForma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</row>
    <row r="435" spans="1:13" s="34" customForma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</row>
    <row r="436" spans="1:13" s="34" customForma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</row>
    <row r="437" spans="1:13" s="34" customForma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</row>
    <row r="438" spans="1:13" s="34" customForma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</row>
    <row r="439" spans="1:13" s="34" customForma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</row>
    <row r="440" spans="1:13" s="34" customForma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</row>
    <row r="441" spans="1:13" s="34" customForma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</row>
    <row r="442" spans="1:13" s="34" customForma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</row>
    <row r="443" spans="1:13" s="34" customForma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</row>
    <row r="444" spans="1:13" s="34" customForma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</row>
    <row r="445" spans="1:13" s="34" customForma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</row>
    <row r="446" spans="1:13" s="34" customForma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</row>
    <row r="447" spans="1:13" s="34" customForma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</row>
    <row r="448" spans="1:13" s="34" customForma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</row>
    <row r="449" spans="1:13" s="34" customForma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</row>
    <row r="450" spans="1:13" s="34" customForma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</row>
    <row r="451" spans="1:13" s="34" customForma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</row>
    <row r="452" spans="1:13" s="34" customForma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</row>
    <row r="453" spans="1:13" s="34" customForma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</row>
    <row r="454" spans="1:13" s="34" customForma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</row>
    <row r="455" spans="1:13" s="34" customForma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</row>
    <row r="456" spans="1:13" s="34" customForma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</row>
    <row r="457" spans="1:13" s="34" customForma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</row>
    <row r="458" spans="1:13" s="34" customForma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</row>
    <row r="459" spans="1:13" s="34" customForma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</row>
    <row r="460" spans="1:13" s="34" customForma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</row>
    <row r="461" spans="1:13" s="34" customForma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</row>
    <row r="462" spans="1:13" s="34" customForma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</row>
    <row r="463" spans="1:13" s="34" customForma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</row>
    <row r="464" spans="1:13" s="34" customForma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</row>
    <row r="465" spans="1:13" s="34" customForma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</row>
    <row r="466" spans="1:13" s="34" customForma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</row>
    <row r="467" spans="1:13" s="34" customForma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</row>
    <row r="468" spans="1:13" s="34" customForma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</row>
    <row r="469" spans="1:13" s="34" customForma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</row>
    <row r="470" spans="1:13" s="34" customForma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</row>
    <row r="471" spans="1:13" s="34" customForma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</row>
    <row r="472" spans="1:13" s="34" customForma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</row>
    <row r="473" spans="1:13" s="34" customForma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</row>
    <row r="474" spans="1:13" s="34" customForma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</row>
    <row r="475" spans="1:13" s="34" customForma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</row>
    <row r="476" spans="1:13" s="34" customForma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</row>
    <row r="477" spans="1:13" s="34" customForma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</row>
    <row r="478" spans="1:13" s="34" customForma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</row>
    <row r="479" spans="1:13" s="34" customForma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</row>
    <row r="480" spans="1:13" s="34" customForma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</row>
    <row r="481" spans="1:13" s="34" customForma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</row>
    <row r="482" spans="1:13" s="34" customForma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</row>
    <row r="483" spans="1:13" s="34" customForma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</row>
    <row r="484" spans="1:13" s="34" customForma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</row>
    <row r="485" spans="1:13" s="34" customForma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</row>
    <row r="486" spans="1:13" s="34" customForma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</row>
    <row r="487" spans="1:13" s="34" customForma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</row>
    <row r="488" spans="1:13" s="34" customForma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</row>
    <row r="489" spans="1:13" s="34" customForma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</row>
    <row r="490" spans="1:13" s="34" customForma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</row>
    <row r="491" spans="1:13" s="34" customForma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</row>
    <row r="492" spans="1:13" s="34" customForma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</row>
    <row r="493" spans="1:13" s="34" customForma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</row>
    <row r="494" spans="1:13" s="34" customForma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</row>
    <row r="495" spans="1:13" s="34" customForma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</row>
    <row r="496" spans="1:13" s="34" customForma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</row>
    <row r="497" spans="1:13" s="34" customForma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</row>
    <row r="498" spans="1:13" s="34" customForma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</row>
    <row r="499" spans="1:13" s="34" customForma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</row>
    <row r="500" spans="1:13" s="34" customForma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</row>
    <row r="501" spans="1:13" s="34" customForma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</row>
    <row r="502" spans="1:13" s="34" customForma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</row>
    <row r="503" spans="1:13" s="34" customForma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</row>
    <row r="504" spans="1:13" s="34" customForma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</row>
    <row r="505" spans="1:13" s="34" customForma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</row>
    <row r="506" spans="1:13" s="34" customForma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</row>
    <row r="507" spans="1:13" s="34" customForma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</row>
    <row r="508" spans="1:13" s="34" customForma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</row>
    <row r="509" spans="1:13" s="34" customForma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</row>
    <row r="510" spans="1:13" s="34" customForma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</row>
    <row r="511" spans="1:13" s="34" customForma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</row>
    <row r="512" spans="1:13" s="34" customForma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</row>
    <row r="513" spans="1:13" s="34" customForma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</row>
    <row r="514" spans="1:13" s="34" customForma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</row>
    <row r="515" spans="1:13" s="34" customForma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</row>
    <row r="516" spans="1:13" s="34" customForma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</row>
    <row r="517" spans="1:13" s="34" customForma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</row>
    <row r="518" spans="1:13" s="34" customForma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</row>
    <row r="519" spans="1:13" s="34" customForma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</row>
    <row r="520" spans="1:13" s="34" customForma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</row>
    <row r="521" spans="1:13" s="34" customForma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</row>
    <row r="522" spans="1:13" s="34" customForma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</row>
    <row r="523" spans="1:13" s="34" customForma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</row>
    <row r="524" spans="1:13" s="34" customForma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</row>
    <row r="525" spans="1:13" s="34" customForma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</row>
    <row r="526" spans="1:13" s="34" customForma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</row>
    <row r="527" spans="1:13" s="34" customForma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</row>
    <row r="528" spans="1:13" s="34" customForma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</row>
    <row r="529" spans="1:13" s="34" customForma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</row>
    <row r="530" spans="1:13" s="34" customForma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</row>
    <row r="531" spans="1:13" s="34" customForma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</row>
    <row r="532" spans="1:13" s="34" customForma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</row>
    <row r="533" spans="1:13" s="34" customForma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</row>
    <row r="534" spans="1:13" s="34" customForma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</row>
    <row r="535" spans="1:13" s="34" customForma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</row>
    <row r="536" spans="1:13" s="34" customForma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</row>
    <row r="537" spans="1:13" s="34" customForma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</row>
    <row r="538" spans="1:13" s="34" customForma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</row>
    <row r="539" spans="1:13" s="34" customForma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</row>
    <row r="540" spans="1:13" s="34" customForma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</row>
    <row r="541" spans="1:13" s="34" customForma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</row>
    <row r="542" spans="1:13" s="34" customForma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</row>
    <row r="543" spans="1:13" s="34" customForma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</row>
    <row r="544" spans="1:13" s="34" customForma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</row>
    <row r="545" spans="1:13" s="34" customForma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</row>
    <row r="546" spans="1:13" s="34" customForma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</row>
    <row r="547" spans="1:13" s="34" customForma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</row>
    <row r="548" spans="1:13" s="34" customForma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</row>
    <row r="549" spans="1:13" s="34" customForma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</row>
    <row r="550" spans="1:13" s="34" customForma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</row>
    <row r="551" spans="1:13" s="34" customForma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</row>
    <row r="552" spans="1:13" s="34" customForma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</row>
    <row r="553" spans="1:13" s="34" customForma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</row>
    <row r="554" spans="1:13" s="34" customForma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</row>
    <row r="555" spans="1:13" s="34" customForma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</row>
    <row r="556" spans="1:13" s="34" customForma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</row>
    <row r="557" spans="1:13" s="34" customForma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</row>
    <row r="558" spans="1:13" s="34" customForma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</row>
    <row r="559" spans="1:13" s="34" customForma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</row>
    <row r="560" spans="1:13" s="34" customForma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</row>
    <row r="561" spans="1:13" s="34" customForma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</row>
    <row r="562" spans="1:13" s="34" customForma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</row>
    <row r="563" spans="1:13" s="34" customForma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</row>
    <row r="564" spans="1:13" s="34" customForma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</row>
    <row r="565" spans="1:13" s="34" customForma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</row>
    <row r="566" spans="1:13" s="34" customForma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</row>
    <row r="567" spans="1:13" s="34" customForma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</row>
    <row r="568" spans="1:13" s="34" customForma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</row>
    <row r="569" spans="1:13" s="34" customForma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</row>
    <row r="570" spans="1:13" s="34" customForma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</row>
    <row r="571" spans="1:13" s="34" customForma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</row>
    <row r="572" spans="1:13" s="34" customForma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</row>
    <row r="573" spans="1:13" s="34" customForma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</row>
    <row r="574" spans="1:13" s="34" customForma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</row>
    <row r="575" spans="1:13" s="34" customForma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</row>
    <row r="576" spans="1:13" s="34" customForma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</row>
    <row r="577" spans="1:13" s="34" customForma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</row>
    <row r="578" spans="1:13" s="34" customForma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</row>
    <row r="579" spans="1:13" s="34" customForma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</row>
    <row r="580" spans="1:13" s="34" customForma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</row>
    <row r="581" spans="1:13" s="34" customForma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</row>
    <row r="582" spans="1:13" s="34" customForma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</row>
    <row r="583" spans="1:13" s="34" customForma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</row>
    <row r="584" spans="1:13" s="34" customForma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</row>
    <row r="585" spans="1:13" s="34" customForma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</row>
    <row r="586" spans="1:13" s="34" customForma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</row>
    <row r="587" spans="1:13" s="34" customForma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</row>
    <row r="588" spans="1:13" s="34" customForma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</row>
    <row r="589" spans="1:13" s="34" customForma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</row>
    <row r="590" spans="1:13" s="34" customForma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</row>
    <row r="591" spans="1:13" s="34" customForma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</row>
    <row r="592" spans="1:13" s="34" customForma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</row>
    <row r="593" spans="1:13" s="34" customForma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</row>
    <row r="594" spans="1:13" s="34" customForma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</row>
    <row r="595" spans="1:13" s="34" customForma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</row>
    <row r="596" spans="1:13" s="34" customForma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</row>
    <row r="597" spans="1:13" s="34" customForma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</row>
    <row r="598" spans="1:13" s="34" customForma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</row>
    <row r="599" spans="1:13" s="34" customForma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</row>
    <row r="600" spans="1:13" s="34" customForma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</row>
    <row r="601" spans="1:13" s="34" customForma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</row>
    <row r="602" spans="1:13" s="34" customForma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</row>
    <row r="603" spans="1:13" s="34" customForma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</row>
    <row r="604" spans="1:13" s="34" customForma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</row>
    <row r="605" spans="1:13" s="34" customForma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</row>
    <row r="606" spans="1:13" s="34" customForma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</row>
    <row r="607" spans="1:13" s="34" customForma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</row>
    <row r="608" spans="1:13" s="34" customForma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</row>
    <row r="609" spans="1:13" s="34" customForma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</row>
    <row r="610" spans="1:13" s="34" customForma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</row>
    <row r="611" spans="1:13" s="34" customForma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</row>
    <row r="612" spans="1:13" s="34" customForma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</row>
    <row r="613" spans="1:13" s="34" customForma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</row>
    <row r="614" spans="1:13" s="34" customForma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</row>
    <row r="615" spans="1:13" s="34" customForma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</row>
    <row r="616" spans="1:13" s="34" customForma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</row>
    <row r="617" spans="1:13" s="34" customForma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</row>
    <row r="618" spans="1:13" s="34" customForma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</row>
    <row r="619" spans="1:13" s="34" customForma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</row>
    <row r="620" spans="1:13" s="34" customForma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</row>
    <row r="621" spans="1:13" s="34" customForma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</row>
    <row r="622" spans="1:13" s="34" customForma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</row>
    <row r="623" spans="1:13" s="34" customForma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</row>
    <row r="624" spans="1:13" s="34" customForma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</row>
    <row r="625" spans="1:13" s="34" customForma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</row>
    <row r="626" spans="1:13" s="34" customForma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</row>
    <row r="627" spans="1:13" s="34" customForma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</row>
    <row r="628" spans="1:13" s="34" customForma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</row>
    <row r="629" spans="1:13" s="34" customForma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</row>
    <row r="630" spans="1:13" s="34" customForma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</row>
    <row r="631" spans="1:13" s="34" customForma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</row>
    <row r="632" spans="1:13" s="34" customForma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</row>
    <row r="633" spans="1:13" s="34" customForma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</row>
    <row r="634" spans="1:13" s="34" customForma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</row>
    <row r="635" spans="1:13" s="34" customForma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</row>
    <row r="636" spans="1:13" s="34" customForma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</row>
    <row r="637" spans="1:13" s="34" customForma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</row>
    <row r="638" spans="1:13" s="34" customForma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</row>
    <row r="639" spans="1:13" s="34" customForma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</row>
    <row r="640" spans="1:13" s="34" customForma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</row>
    <row r="641" spans="1:13" s="34" customForma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</row>
    <row r="642" spans="1:13" s="34" customForma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</row>
    <row r="643" spans="1:13" s="34" customForma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</row>
    <row r="644" spans="1:13" s="34" customForma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</row>
    <row r="645" spans="1:13" s="34" customForma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</row>
    <row r="646" spans="1:13" s="34" customForma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</row>
    <row r="647" spans="1:13" s="34" customForma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</row>
    <row r="648" spans="1:13" s="34" customForma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</row>
    <row r="649" spans="1:13" s="34" customForma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</row>
    <row r="650" spans="1:13" s="34" customForma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</row>
    <row r="651" spans="1:13" s="34" customForma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</row>
    <row r="652" spans="1:13" s="34" customForma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</row>
    <row r="653" spans="1:13" s="34" customForma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</row>
    <row r="654" spans="1:13" s="34" customForma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</row>
    <row r="655" spans="1:13" s="34" customForma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</row>
    <row r="656" spans="1:13" s="34" customForma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</row>
    <row r="657" spans="1:13" s="34" customForma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</row>
    <row r="658" spans="1:13" s="34" customForma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</row>
    <row r="659" spans="1:13" s="34" customForma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</row>
    <row r="660" spans="1:13" s="34" customForma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</row>
    <row r="661" spans="1:13" s="34" customForma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</row>
    <row r="662" spans="1:13" s="34" customForma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</row>
    <row r="663" spans="1:13" s="34" customForma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</row>
    <row r="664" spans="1:13" s="34" customForma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</row>
    <row r="665" spans="1:13" s="34" customForma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</row>
    <row r="666" spans="1:13" s="34" customForma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</row>
    <row r="667" spans="1:13" s="34" customForma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</row>
    <row r="668" spans="1:13" s="34" customForma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</row>
    <row r="669" spans="1:13" s="34" customForma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</row>
    <row r="670" spans="1:13" s="34" customForma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</row>
    <row r="671" spans="1:13" s="34" customForma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</row>
    <row r="672" spans="1:13" s="34" customForma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</row>
    <row r="673" spans="1:13" s="34" customForma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</row>
    <row r="674" spans="1:13" s="34" customForma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</row>
    <row r="675" spans="1:13" s="34" customForma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</row>
    <row r="676" spans="1:13" s="34" customForma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</row>
    <row r="677" spans="1:13" s="34" customForma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</row>
    <row r="678" spans="1:13" s="34" customForma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</row>
    <row r="679" spans="1:13" s="34" customForma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</row>
    <row r="680" spans="1:13" s="34" customForma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</row>
    <row r="681" spans="1:13" s="34" customForma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</row>
    <row r="682" spans="1:13" s="34" customForma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</row>
    <row r="683" spans="1:13" s="34" customForma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</row>
    <row r="684" spans="1:13" s="34" customForma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</row>
    <row r="685" spans="1:13" s="34" customForma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</row>
    <row r="686" spans="1:13" s="34" customForma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</row>
    <row r="687" spans="1:13" s="34" customForma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</row>
    <row r="688" spans="1:13" s="34" customForma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</row>
    <row r="689" spans="1:13" s="34" customForma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</row>
    <row r="690" spans="1:13" s="34" customForma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</row>
    <row r="691" spans="1:13" s="34" customForma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</row>
    <row r="692" spans="1:13" s="34" customForma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</row>
    <row r="693" spans="1:13" s="34" customForma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</row>
    <row r="694" spans="1:13" s="34" customForma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</row>
    <row r="695" spans="1:13" s="34" customForma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</row>
    <row r="696" spans="1:13" s="34" customForma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</row>
    <row r="697" spans="1:13" s="34" customForma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</row>
    <row r="698" spans="1:13" s="34" customForma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</row>
    <row r="699" spans="1:13" s="34" customForma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</row>
    <row r="700" spans="1:13" s="34" customForma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</row>
    <row r="701" spans="1:13" s="34" customForma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</row>
    <row r="702" spans="1:13" s="34" customForma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</row>
    <row r="703" spans="1:13" s="34" customForma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</row>
    <row r="704" spans="1:13" s="34" customForma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</row>
    <row r="705" spans="1:13" s="34" customForma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</row>
    <row r="706" spans="1:13" s="34" customForma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</row>
    <row r="707" spans="1:13" s="34" customForma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</row>
    <row r="708" spans="1:13" s="34" customForma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</row>
    <row r="709" spans="1:13" s="34" customForma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</row>
    <row r="710" spans="1:13" s="34" customForma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</row>
    <row r="711" spans="1:13" s="34" customForma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</row>
    <row r="712" spans="1:13" s="34" customForma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</row>
    <row r="713" spans="1:13" s="34" customForma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</row>
    <row r="714" spans="1:13" s="34" customForma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</row>
    <row r="715" spans="1:13" s="34" customForma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</row>
    <row r="716" spans="1:13" s="34" customForma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</row>
    <row r="717" spans="1:13" s="34" customForma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</row>
    <row r="718" spans="1:13" s="34" customForma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</row>
    <row r="719" spans="1:13" s="34" customForma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</row>
    <row r="720" spans="1:13" s="34" customForma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</row>
    <row r="721" spans="1:13" s="34" customForma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</row>
    <row r="722" spans="1:13" s="34" customForma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</row>
    <row r="723" spans="1:13" s="34" customForma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</row>
    <row r="724" spans="1:13" s="34" customForma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</row>
    <row r="725" spans="1:13" s="34" customForma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</row>
    <row r="726" spans="1:13" s="34" customForma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</row>
    <row r="727" spans="1:13" s="34" customForma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</row>
    <row r="728" spans="1:13" s="34" customForma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</row>
    <row r="729" spans="1:13" s="34" customForma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</row>
    <row r="730" spans="1:13" s="34" customForma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</row>
    <row r="731" spans="1:13" s="34" customForma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</row>
    <row r="732" spans="1:13" s="34" customForma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</row>
    <row r="733" spans="1:13" s="34" customForma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</row>
    <row r="734" spans="1:13" s="34" customForma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</row>
    <row r="735" spans="1:13" s="34" customForma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</row>
    <row r="736" spans="1:13" s="34" customForma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</row>
    <row r="737" spans="1:13" s="34" customForma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</row>
    <row r="738" spans="1:13" s="34" customForma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</row>
    <row r="739" spans="1:13" s="34" customForma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</row>
    <row r="740" spans="1:13" s="34" customForma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</row>
    <row r="741" spans="1:13" s="34" customForma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</row>
    <row r="742" spans="1:13" s="34" customForma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</row>
    <row r="743" spans="1:13" s="34" customForma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</row>
    <row r="744" spans="1:13" s="34" customForma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</row>
    <row r="745" spans="1:13" s="34" customForma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</row>
    <row r="746" spans="1:13" s="34" customForma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</row>
    <row r="747" spans="1:13" s="34" customForma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</row>
    <row r="748" spans="1:13" s="34" customForma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</row>
    <row r="749" spans="1:13" s="34" customForma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</row>
    <row r="750" spans="1:13" s="34" customForma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</row>
    <row r="751" spans="1:13" s="34" customForma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</row>
    <row r="752" spans="1:13" s="34" customForma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</row>
    <row r="753" spans="1:13" s="34" customForma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</row>
    <row r="754" spans="1:13" s="34" customForma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</row>
    <row r="755" spans="1:13" s="34" customForma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</row>
    <row r="756" spans="1:13" s="34" customForma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</row>
    <row r="757" spans="1:13" s="34" customForma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</row>
    <row r="758" spans="1:13" s="34" customForma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</row>
    <row r="759" spans="1:13" s="34" customForma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</row>
    <row r="760" spans="1:13" s="34" customForma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</row>
    <row r="761" spans="1:13" s="34" customForma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</row>
    <row r="762" spans="1:13" s="34" customForma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</row>
    <row r="763" spans="1:13" s="34" customForma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</row>
    <row r="764" spans="1:13" s="34" customForma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</row>
    <row r="765" spans="1:13" s="34" customForma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</row>
    <row r="766" spans="1:13" s="34" customForma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</row>
    <row r="767" spans="1:13" s="34" customForma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</row>
    <row r="768" spans="1:13" s="34" customForma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</row>
    <row r="769" spans="1:13" s="34" customFormat="1">
      <c r="A769" s="7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</row>
    <row r="770" spans="1:13" s="34" customFormat="1">
      <c r="A770" s="7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</row>
    <row r="771" spans="1:13" s="34" customFormat="1">
      <c r="A771" s="7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</row>
    <row r="772" spans="1:13" s="34" customFormat="1">
      <c r="A772" s="7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</row>
    <row r="773" spans="1:13" s="34" customFormat="1">
      <c r="A773" s="7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</row>
    <row r="774" spans="1:13" s="34" customFormat="1">
      <c r="A774" s="7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</row>
    <row r="775" spans="1:13" s="34" customFormat="1">
      <c r="A775" s="7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</row>
    <row r="776" spans="1:13" s="34" customFormat="1">
      <c r="A776" s="7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</row>
    <row r="777" spans="1:13" s="34" customFormat="1">
      <c r="A777" s="7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</row>
    <row r="778" spans="1:13" s="34" customFormat="1">
      <c r="A778" s="7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</row>
    <row r="779" spans="1:13" s="34" customFormat="1">
      <c r="A779" s="7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</row>
    <row r="780" spans="1:13" s="34" customFormat="1">
      <c r="A780" s="7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</row>
    <row r="781" spans="1:13" s="34" customFormat="1">
      <c r="A781" s="7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</row>
    <row r="782" spans="1:13" s="34" customFormat="1">
      <c r="A782" s="7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</row>
    <row r="783" spans="1:13" s="34" customFormat="1">
      <c r="A783" s="7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</row>
    <row r="784" spans="1:13" s="34" customFormat="1">
      <c r="A784" s="7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</row>
    <row r="785" spans="1:13" s="34" customFormat="1">
      <c r="A785" s="7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</row>
    <row r="786" spans="1:13" s="34" customFormat="1">
      <c r="A786" s="7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</row>
    <row r="787" spans="1:13" s="34" customFormat="1">
      <c r="A787" s="7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</row>
    <row r="788" spans="1:13" s="34" customFormat="1">
      <c r="A788" s="7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</row>
    <row r="789" spans="1:13" s="34" customFormat="1">
      <c r="A789" s="7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</row>
    <row r="790" spans="1:13" s="34" customFormat="1">
      <c r="A790" s="7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</row>
    <row r="791" spans="1:13" s="34" customFormat="1">
      <c r="A791" s="7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</row>
    <row r="792" spans="1:13" s="34" customFormat="1">
      <c r="A792" s="7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</row>
    <row r="793" spans="1:13" s="34" customFormat="1">
      <c r="A793" s="7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</row>
    <row r="794" spans="1:13" s="34" customFormat="1">
      <c r="A794" s="7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</row>
    <row r="795" spans="1:13" s="34" customFormat="1">
      <c r="A795" s="7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</row>
    <row r="796" spans="1:13" s="34" customFormat="1">
      <c r="A796" s="7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</row>
    <row r="797" spans="1:13" s="34" customFormat="1">
      <c r="A797" s="7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</row>
    <row r="798" spans="1:13" s="34" customFormat="1">
      <c r="A798" s="7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</row>
    <row r="799" spans="1:13" s="34" customFormat="1">
      <c r="A799" s="7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</row>
    <row r="800" spans="1:13" s="34" customFormat="1">
      <c r="A800" s="7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</row>
    <row r="801" spans="1:13" s="34" customFormat="1">
      <c r="A801" s="7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</row>
    <row r="802" spans="1:13" s="34" customFormat="1">
      <c r="A802" s="7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</row>
    <row r="803" spans="1:13" s="34" customFormat="1">
      <c r="A803" s="7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</row>
    <row r="804" spans="1:13" s="34" customFormat="1">
      <c r="A804" s="7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</row>
    <row r="805" spans="1:13" s="34" customFormat="1">
      <c r="A805" s="7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</row>
    <row r="806" spans="1:13" s="34" customFormat="1">
      <c r="A806" s="7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</row>
    <row r="807" spans="1:13" s="34" customFormat="1">
      <c r="A807" s="7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</row>
    <row r="808" spans="1:13" s="34" customFormat="1">
      <c r="A808" s="7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</row>
    <row r="809" spans="1:13" s="34" customFormat="1">
      <c r="A809" s="7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</row>
    <row r="810" spans="1:13" s="34" customFormat="1">
      <c r="A810" s="7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</row>
    <row r="811" spans="1:13" s="34" customFormat="1">
      <c r="A811" s="7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</row>
    <row r="812" spans="1:13" s="34" customFormat="1">
      <c r="A812" s="7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</row>
    <row r="813" spans="1:13" s="34" customFormat="1">
      <c r="A813" s="7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</row>
    <row r="814" spans="1:13" s="34" customFormat="1">
      <c r="A814" s="7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</row>
    <row r="815" spans="1:13" s="34" customFormat="1">
      <c r="A815" s="7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</row>
    <row r="816" spans="1:13" s="34" customFormat="1">
      <c r="A816" s="7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</row>
    <row r="817" spans="1:13" s="34" customFormat="1">
      <c r="A817" s="7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</row>
    <row r="818" spans="1:13" s="34" customFormat="1">
      <c r="A818" s="7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</row>
    <row r="819" spans="1:13" s="34" customFormat="1">
      <c r="A819" s="7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</row>
    <row r="820" spans="1:13" s="34" customFormat="1">
      <c r="A820" s="7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</row>
    <row r="821" spans="1:13" s="34" customFormat="1">
      <c r="A821" s="7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</row>
    <row r="822" spans="1:13" s="34" customFormat="1">
      <c r="A822" s="7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</row>
    <row r="823" spans="1:13" s="34" customFormat="1">
      <c r="A823" s="7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</row>
    <row r="824" spans="1:13" s="34" customFormat="1">
      <c r="A824" s="7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</row>
    <row r="825" spans="1:13" s="34" customFormat="1">
      <c r="A825" s="7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</row>
    <row r="826" spans="1:13" s="34" customFormat="1">
      <c r="A826" s="7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</row>
    <row r="827" spans="1:13" s="34" customFormat="1">
      <c r="A827" s="7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</row>
    <row r="828" spans="1:13" s="34" customFormat="1">
      <c r="A828" s="7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</row>
    <row r="829" spans="1:13" s="34" customFormat="1">
      <c r="A829" s="7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</row>
    <row r="830" spans="1:13" s="34" customFormat="1">
      <c r="A830" s="7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</row>
    <row r="831" spans="1:13" s="34" customFormat="1">
      <c r="A831" s="7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</row>
    <row r="832" spans="1:13" s="34" customFormat="1">
      <c r="A832" s="7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</row>
    <row r="833" spans="1:13" s="34" customFormat="1">
      <c r="A833" s="7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</row>
    <row r="834" spans="1:13" s="34" customFormat="1">
      <c r="A834" s="7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</row>
    <row r="835" spans="1:13" s="34" customFormat="1">
      <c r="A835" s="7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</row>
    <row r="836" spans="1:13" s="34" customFormat="1">
      <c r="A836" s="7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</row>
    <row r="837" spans="1:13" s="34" customFormat="1">
      <c r="A837" s="7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</row>
    <row r="838" spans="1:13" s="34" customFormat="1">
      <c r="A838" s="7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</row>
    <row r="839" spans="1:13" s="34" customFormat="1">
      <c r="A839" s="7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</row>
    <row r="840" spans="1:13" s="34" customFormat="1">
      <c r="A840" s="7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</row>
    <row r="841" spans="1:13" s="34" customFormat="1">
      <c r="A841" s="7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</row>
    <row r="842" spans="1:13" s="34" customFormat="1">
      <c r="A842" s="7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</row>
    <row r="843" spans="1:13" s="34" customFormat="1">
      <c r="A843" s="7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</row>
    <row r="844" spans="1:13" s="34" customFormat="1">
      <c r="A844" s="7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</row>
    <row r="845" spans="1:13" s="34" customFormat="1">
      <c r="A845" s="7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</row>
    <row r="846" spans="1:13" s="34" customFormat="1">
      <c r="A846" s="7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</row>
    <row r="847" spans="1:13" s="34" customFormat="1">
      <c r="A847" s="7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</row>
    <row r="848" spans="1:13" s="34" customFormat="1">
      <c r="A848" s="7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</row>
    <row r="849" spans="1:13" s="34" customFormat="1">
      <c r="A849" s="7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</row>
    <row r="850" spans="1:13" s="34" customFormat="1">
      <c r="A850" s="7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</row>
    <row r="851" spans="1:13" s="34" customFormat="1">
      <c r="A851" s="7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</row>
    <row r="852" spans="1:13" s="34" customFormat="1">
      <c r="A852" s="7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</row>
    <row r="853" spans="1:13" s="34" customFormat="1">
      <c r="A853" s="7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</row>
    <row r="854" spans="1:13" s="34" customFormat="1">
      <c r="A854" s="7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</row>
    <row r="855" spans="1:13" s="34" customFormat="1">
      <c r="A855" s="7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</row>
    <row r="856" spans="1:13" s="34" customFormat="1">
      <c r="A856" s="7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</row>
    <row r="857" spans="1:13" s="34" customFormat="1">
      <c r="A857" s="7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</row>
    <row r="858" spans="1:13" s="34" customFormat="1">
      <c r="A858" s="7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</row>
    <row r="859" spans="1:13" s="34" customFormat="1">
      <c r="A859" s="7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</row>
    <row r="860" spans="1:13" s="34" customFormat="1">
      <c r="A860" s="7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</row>
    <row r="861" spans="1:13" s="34" customFormat="1">
      <c r="A861" s="7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</row>
    <row r="862" spans="1:13" s="34" customFormat="1">
      <c r="A862" s="7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</row>
    <row r="863" spans="1:13" s="34" customFormat="1">
      <c r="A863" s="7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</row>
    <row r="864" spans="1:13" s="34" customFormat="1">
      <c r="A864" s="7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</row>
    <row r="865" spans="1:13" s="34" customFormat="1">
      <c r="A865" s="7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</row>
    <row r="866" spans="1:13" s="34" customFormat="1">
      <c r="A866" s="7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</row>
    <row r="867" spans="1:13" s="34" customFormat="1">
      <c r="A867" s="7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</row>
    <row r="868" spans="1:13" s="34" customFormat="1">
      <c r="A868" s="7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</row>
    <row r="869" spans="1:13" s="34" customFormat="1">
      <c r="A869" s="7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</row>
    <row r="870" spans="1:13" s="34" customFormat="1">
      <c r="A870" s="7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</row>
    <row r="871" spans="1:13" s="34" customFormat="1">
      <c r="A871" s="7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</row>
    <row r="872" spans="1:13" s="34" customFormat="1">
      <c r="A872" s="7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</row>
    <row r="873" spans="1:13" s="34" customFormat="1">
      <c r="A873" s="7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</row>
    <row r="874" spans="1:13" s="34" customFormat="1">
      <c r="A874" s="7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</row>
    <row r="875" spans="1:13" s="34" customFormat="1">
      <c r="A875" s="7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</row>
    <row r="876" spans="1:13" s="34" customFormat="1">
      <c r="A876" s="7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</row>
    <row r="877" spans="1:13" s="34" customFormat="1">
      <c r="A877" s="7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</row>
    <row r="878" spans="1:13" s="34" customFormat="1">
      <c r="A878" s="7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</row>
    <row r="879" spans="1:13" s="34" customFormat="1">
      <c r="A879" s="7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</row>
    <row r="880" spans="1:13" s="34" customFormat="1">
      <c r="A880" s="7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</row>
    <row r="881" spans="1:13" s="34" customFormat="1">
      <c r="A881" s="7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</row>
    <row r="882" spans="1:13" s="34" customFormat="1">
      <c r="A882" s="7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</row>
    <row r="883" spans="1:13" s="34" customFormat="1">
      <c r="A883" s="7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</row>
    <row r="884" spans="1:13" s="34" customFormat="1">
      <c r="A884" s="7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</row>
    <row r="885" spans="1:13" s="34" customFormat="1">
      <c r="A885" s="7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</row>
    <row r="886" spans="1:13" s="34" customFormat="1">
      <c r="A886" s="7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</row>
    <row r="887" spans="1:13" s="34" customFormat="1">
      <c r="A887" s="7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</row>
    <row r="888" spans="1:13" s="34" customFormat="1">
      <c r="A888" s="7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</row>
    <row r="889" spans="1:13" s="34" customFormat="1">
      <c r="A889" s="7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</row>
    <row r="890" spans="1:13" s="34" customFormat="1">
      <c r="A890" s="7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</row>
    <row r="891" spans="1:13" s="34" customFormat="1">
      <c r="A891" s="7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</row>
    <row r="892" spans="1:13" s="34" customFormat="1">
      <c r="A892" s="7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</row>
    <row r="893" spans="1:13" s="34" customFormat="1">
      <c r="A893" s="7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</row>
    <row r="894" spans="1:13" s="34" customFormat="1">
      <c r="A894" s="7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</row>
    <row r="895" spans="1:13" s="34" customFormat="1">
      <c r="A895" s="7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</row>
    <row r="896" spans="1:13" s="34" customFormat="1">
      <c r="A896" s="7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</row>
    <row r="897" spans="1:13" s="34" customFormat="1">
      <c r="A897" s="7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</row>
    <row r="898" spans="1:13" s="34" customFormat="1">
      <c r="A898" s="7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</row>
    <row r="899" spans="1:13" s="34" customFormat="1">
      <c r="A899" s="7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</row>
    <row r="900" spans="1:13" s="34" customFormat="1">
      <c r="A900" s="7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</row>
    <row r="901" spans="1:13" s="34" customFormat="1">
      <c r="A901" s="7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</row>
    <row r="902" spans="1:13" s="34" customFormat="1">
      <c r="A902" s="7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</row>
    <row r="903" spans="1:13" s="34" customFormat="1">
      <c r="A903" s="7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</row>
    <row r="904" spans="1:13" s="34" customFormat="1">
      <c r="A904" s="7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</row>
    <row r="905" spans="1:13" s="34" customFormat="1">
      <c r="A905" s="7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</row>
    <row r="906" spans="1:13" s="34" customFormat="1">
      <c r="A906" s="7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</row>
    <row r="907" spans="1:13" s="34" customFormat="1">
      <c r="A907" s="7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</row>
    <row r="908" spans="1:13" s="34" customFormat="1">
      <c r="A908" s="7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</row>
    <row r="909" spans="1:13" s="34" customFormat="1">
      <c r="A909" s="7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</row>
    <row r="910" spans="1:13" s="34" customFormat="1">
      <c r="A910" s="7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</row>
    <row r="911" spans="1:13" s="34" customFormat="1">
      <c r="A911" s="7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</row>
    <row r="912" spans="1:13" s="34" customFormat="1">
      <c r="A912" s="7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</row>
    <row r="913" spans="1:13" s="34" customFormat="1">
      <c r="A913" s="7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</row>
    <row r="914" spans="1:13" s="34" customFormat="1">
      <c r="A914" s="7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</row>
    <row r="915" spans="1:13" s="34" customFormat="1">
      <c r="A915" s="7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</row>
    <row r="916" spans="1:13" s="34" customFormat="1">
      <c r="A916" s="7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</row>
    <row r="917" spans="1:13" s="34" customFormat="1">
      <c r="A917" s="7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</row>
    <row r="918" spans="1:13" s="34" customFormat="1">
      <c r="A918" s="7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</row>
    <row r="919" spans="1:13" s="34" customFormat="1">
      <c r="A919" s="7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</row>
    <row r="920" spans="1:13" s="34" customFormat="1">
      <c r="A920" s="7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</row>
    <row r="921" spans="1:13" s="34" customFormat="1">
      <c r="A921" s="7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</row>
    <row r="922" spans="1:13" s="34" customFormat="1">
      <c r="A922" s="7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</row>
    <row r="923" spans="1:13" s="34" customFormat="1">
      <c r="A923" s="7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</row>
    <row r="924" spans="1:13" s="34" customFormat="1">
      <c r="A924" s="7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</row>
    <row r="925" spans="1:13" s="34" customFormat="1">
      <c r="A925" s="7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</row>
    <row r="926" spans="1:13" s="34" customFormat="1">
      <c r="A926" s="7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</row>
    <row r="927" spans="1:13" s="34" customFormat="1">
      <c r="A927" s="7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</row>
    <row r="928" spans="1:13" s="34" customFormat="1">
      <c r="A928" s="7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</row>
    <row r="929" spans="1:13" s="34" customFormat="1">
      <c r="A929" s="7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</row>
    <row r="930" spans="1:13" s="34" customFormat="1">
      <c r="A930" s="7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</row>
    <row r="931" spans="1:13" s="34" customFormat="1">
      <c r="A931" s="7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</row>
    <row r="932" spans="1:13" s="34" customFormat="1">
      <c r="A932" s="7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</row>
    <row r="933" spans="1:13" s="34" customFormat="1">
      <c r="A933" s="7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</row>
    <row r="934" spans="1:13" s="34" customFormat="1">
      <c r="A934" s="7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</row>
    <row r="935" spans="1:13" s="34" customFormat="1">
      <c r="A935" s="7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</row>
    <row r="936" spans="1:13" s="34" customFormat="1">
      <c r="A936" s="7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</row>
    <row r="937" spans="1:13" s="34" customFormat="1">
      <c r="A937" s="7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</row>
    <row r="938" spans="1:13" s="34" customFormat="1">
      <c r="A938" s="7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</row>
    <row r="939" spans="1:13" s="34" customFormat="1">
      <c r="A939" s="7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</row>
    <row r="940" spans="1:13" s="34" customFormat="1">
      <c r="A940" s="7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</row>
    <row r="941" spans="1:13" s="34" customFormat="1">
      <c r="A941" s="7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</row>
    <row r="942" spans="1:13" s="34" customFormat="1">
      <c r="A942" s="7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</row>
    <row r="943" spans="1:13" s="34" customFormat="1">
      <c r="A943" s="7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</row>
    <row r="944" spans="1:13" s="34" customFormat="1">
      <c r="A944" s="7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</row>
    <row r="945" spans="1:13" s="34" customFormat="1">
      <c r="A945" s="7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</row>
    <row r="946" spans="1:13" s="34" customFormat="1">
      <c r="A946" s="7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</row>
    <row r="947" spans="1:13" s="34" customFormat="1">
      <c r="A947" s="7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</row>
    <row r="948" spans="1:13" s="34" customFormat="1">
      <c r="A948" s="7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</row>
    <row r="949" spans="1:13" s="34" customFormat="1">
      <c r="A949" s="7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</row>
    <row r="950" spans="1:13" s="34" customFormat="1">
      <c r="A950" s="7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</row>
    <row r="951" spans="1:13" s="34" customFormat="1">
      <c r="A951" s="7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</row>
    <row r="952" spans="1:13" s="34" customFormat="1">
      <c r="A952" s="7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</row>
    <row r="953" spans="1:13" s="34" customFormat="1">
      <c r="A953" s="7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</row>
    <row r="954" spans="1:13" s="34" customFormat="1">
      <c r="A954" s="7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</row>
    <row r="955" spans="1:13" s="34" customFormat="1">
      <c r="A955" s="7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</row>
    <row r="956" spans="1:13" s="34" customFormat="1">
      <c r="A956" s="7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</row>
    <row r="957" spans="1:13" s="34" customFormat="1">
      <c r="A957" s="7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</row>
    <row r="958" spans="1:13" s="34" customFormat="1">
      <c r="A958" s="7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</row>
    <row r="959" spans="1:13" s="34" customFormat="1">
      <c r="A959" s="7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</row>
    <row r="960" spans="1:13" s="34" customFormat="1">
      <c r="A960" s="7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</row>
    <row r="961" spans="1:13" s="34" customFormat="1">
      <c r="A961" s="7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</row>
    <row r="962" spans="1:13" s="34" customFormat="1">
      <c r="A962" s="7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</row>
    <row r="963" spans="1:13" s="34" customFormat="1">
      <c r="A963" s="7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</row>
    <row r="964" spans="1:13" s="34" customFormat="1">
      <c r="A964" s="7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</row>
    <row r="965" spans="1:13" s="34" customFormat="1">
      <c r="A965" s="7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</row>
    <row r="966" spans="1:13" s="34" customFormat="1">
      <c r="A966" s="7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</row>
    <row r="967" spans="1:13" s="34" customFormat="1">
      <c r="A967" s="7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</row>
    <row r="968" spans="1:13" s="34" customFormat="1">
      <c r="A968" s="7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</row>
    <row r="969" spans="1:13" s="34" customFormat="1">
      <c r="A969" s="7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</row>
    <row r="970" spans="1:13" s="34" customFormat="1">
      <c r="A970" s="7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</row>
    <row r="971" spans="1:13" s="34" customFormat="1">
      <c r="A971" s="7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</row>
    <row r="972" spans="1:13" s="34" customFormat="1">
      <c r="A972" s="7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</row>
    <row r="973" spans="1:13" s="34" customFormat="1">
      <c r="A973" s="7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</row>
    <row r="974" spans="1:13" s="34" customFormat="1">
      <c r="A974" s="7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</row>
    <row r="975" spans="1:13" s="34" customFormat="1">
      <c r="A975" s="7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</row>
    <row r="976" spans="1:13" s="34" customFormat="1">
      <c r="A976" s="7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</row>
    <row r="977" spans="1:13" s="34" customFormat="1">
      <c r="A977" s="7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</row>
    <row r="978" spans="1:13" s="34" customFormat="1">
      <c r="A978" s="7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</row>
    <row r="979" spans="1:13" s="34" customFormat="1">
      <c r="A979" s="7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</row>
    <row r="980" spans="1:13" s="34" customFormat="1">
      <c r="A980" s="7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</row>
    <row r="981" spans="1:13" s="34" customFormat="1">
      <c r="A981" s="7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</row>
    <row r="982" spans="1:13" s="34" customFormat="1">
      <c r="A982" s="7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</row>
    <row r="983" spans="1:13" s="34" customFormat="1">
      <c r="A983" s="7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</row>
    <row r="984" spans="1:13" s="34" customFormat="1">
      <c r="A984" s="7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</row>
    <row r="985" spans="1:13" s="34" customFormat="1">
      <c r="A985" s="7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</row>
    <row r="986" spans="1:13" s="34" customFormat="1">
      <c r="A986" s="7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</row>
    <row r="987" spans="1:13" s="34" customFormat="1">
      <c r="A987" s="7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</row>
    <row r="988" spans="1:13" s="34" customFormat="1">
      <c r="A988" s="7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</row>
    <row r="989" spans="1:13" s="34" customFormat="1">
      <c r="A989" s="7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</row>
    <row r="990" spans="1:13" s="34" customFormat="1">
      <c r="A990" s="7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</row>
    <row r="991" spans="1:13" s="34" customFormat="1">
      <c r="A991" s="7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</row>
    <row r="992" spans="1:13" s="34" customFormat="1">
      <c r="A992" s="7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</row>
    <row r="993" spans="1:13" s="34" customFormat="1">
      <c r="A993" s="7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</row>
    <row r="994" spans="1:13" s="34" customFormat="1">
      <c r="A994" s="7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</row>
    <row r="995" spans="1:13" s="34" customFormat="1">
      <c r="A995" s="7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</row>
    <row r="996" spans="1:13" s="34" customFormat="1">
      <c r="A996" s="7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</row>
    <row r="997" spans="1:13" s="34" customFormat="1">
      <c r="A997" s="7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</row>
    <row r="998" spans="1:13" s="34" customFormat="1">
      <c r="A998" s="7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</row>
    <row r="999" spans="1:13" s="34" customFormat="1">
      <c r="A999" s="7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</row>
    <row r="1000" spans="1:13" s="34" customFormat="1">
      <c r="A1000" s="7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</row>
    <row r="1001" spans="1:13" s="34" customFormat="1">
      <c r="A1001" s="7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</row>
    <row r="1002" spans="1:13" s="34" customFormat="1">
      <c r="A1002" s="7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</row>
    <row r="1003" spans="1:13" s="34" customFormat="1">
      <c r="A1003" s="7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</row>
    <row r="1004" spans="1:13" s="34" customFormat="1">
      <c r="A1004" s="7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</row>
    <row r="1005" spans="1:13" s="34" customFormat="1">
      <c r="A1005" s="7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</row>
    <row r="1006" spans="1:13" s="34" customFormat="1">
      <c r="A1006" s="7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</row>
    <row r="1007" spans="1:13" s="34" customFormat="1">
      <c r="A1007" s="7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</row>
    <row r="1008" spans="1:13" s="34" customFormat="1">
      <c r="A1008" s="7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</row>
    <row r="1009" spans="1:13" s="34" customFormat="1">
      <c r="A1009" s="7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</row>
    <row r="1010" spans="1:13" s="34" customFormat="1">
      <c r="A1010" s="73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</row>
    <row r="1011" spans="1:13" s="34" customFormat="1">
      <c r="A1011" s="73"/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</row>
    <row r="1012" spans="1:13" s="34" customFormat="1">
      <c r="A1012" s="73"/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</row>
    <row r="1013" spans="1:13" s="34" customFormat="1">
      <c r="A1013" s="73"/>
      <c r="B1013" s="3"/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</row>
    <row r="1014" spans="1:13" s="34" customFormat="1">
      <c r="A1014" s="73"/>
      <c r="B1014" s="3"/>
      <c r="C1014" s="3"/>
      <c r="D1014" s="3"/>
      <c r="E1014" s="3"/>
      <c r="F1014" s="3"/>
      <c r="G1014" s="3"/>
      <c r="H1014" s="3"/>
      <c r="I1014" s="3"/>
      <c r="J1014" s="3"/>
      <c r="K1014" s="3"/>
      <c r="L1014" s="3"/>
      <c r="M1014" s="3"/>
    </row>
    <row r="1015" spans="1:13" s="34" customFormat="1">
      <c r="A1015" s="73"/>
      <c r="B1015" s="3"/>
      <c r="C1015" s="3"/>
      <c r="D1015" s="3"/>
      <c r="E1015" s="3"/>
      <c r="F1015" s="3"/>
      <c r="G1015" s="3"/>
      <c r="H1015" s="3"/>
      <c r="I1015" s="3"/>
      <c r="J1015" s="3"/>
      <c r="K1015" s="3"/>
      <c r="L1015" s="3"/>
      <c r="M1015" s="3"/>
    </row>
    <row r="1016" spans="1:13" s="34" customFormat="1">
      <c r="A1016" s="73"/>
      <c r="B1016" s="3"/>
      <c r="C1016" s="3"/>
      <c r="D1016" s="3"/>
      <c r="E1016" s="3"/>
      <c r="F1016" s="3"/>
      <c r="G1016" s="3"/>
      <c r="H1016" s="3"/>
      <c r="I1016" s="3"/>
      <c r="J1016" s="3"/>
      <c r="K1016" s="3"/>
      <c r="L1016" s="3"/>
      <c r="M1016" s="3"/>
    </row>
    <row r="1017" spans="1:13" s="34" customFormat="1">
      <c r="A1017" s="73"/>
      <c r="B1017" s="3"/>
      <c r="C1017" s="3"/>
      <c r="D1017" s="3"/>
      <c r="E1017" s="3"/>
      <c r="F1017" s="3"/>
      <c r="G1017" s="3"/>
      <c r="H1017" s="3"/>
      <c r="I1017" s="3"/>
      <c r="J1017" s="3"/>
      <c r="K1017" s="3"/>
      <c r="L1017" s="3"/>
      <c r="M1017" s="3"/>
    </row>
    <row r="1018" spans="1:13" s="34" customFormat="1">
      <c r="A1018" s="73"/>
      <c r="B1018" s="3"/>
      <c r="C1018" s="3"/>
      <c r="D1018" s="3"/>
      <c r="E1018" s="3"/>
      <c r="F1018" s="3"/>
      <c r="G1018" s="3"/>
      <c r="H1018" s="3"/>
      <c r="I1018" s="3"/>
      <c r="J1018" s="3"/>
      <c r="K1018" s="3"/>
      <c r="L1018" s="3"/>
      <c r="M1018" s="3"/>
    </row>
    <row r="1019" spans="1:13" s="34" customFormat="1">
      <c r="A1019" s="73"/>
      <c r="B1019" s="3"/>
      <c r="C1019" s="3"/>
      <c r="D1019" s="3"/>
      <c r="E1019" s="3"/>
      <c r="F1019" s="3"/>
      <c r="G1019" s="3"/>
      <c r="H1019" s="3"/>
      <c r="I1019" s="3"/>
      <c r="J1019" s="3"/>
      <c r="K1019" s="3"/>
      <c r="L1019" s="3"/>
      <c r="M1019" s="3"/>
    </row>
    <row r="1020" spans="1:13" s="34" customFormat="1">
      <c r="A1020" s="73"/>
      <c r="B1020" s="3"/>
      <c r="C1020" s="3"/>
      <c r="D1020" s="3"/>
      <c r="E1020" s="3"/>
      <c r="F1020" s="3"/>
      <c r="G1020" s="3"/>
      <c r="H1020" s="3"/>
      <c r="I1020" s="3"/>
      <c r="J1020" s="3"/>
      <c r="K1020" s="3"/>
      <c r="L1020" s="3"/>
      <c r="M1020" s="3"/>
    </row>
    <row r="1021" spans="1:13" s="34" customFormat="1">
      <c r="A1021" s="73"/>
      <c r="B1021" s="3"/>
      <c r="C1021" s="3"/>
      <c r="D1021" s="3"/>
      <c r="E1021" s="3"/>
      <c r="F1021" s="3"/>
      <c r="G1021" s="3"/>
      <c r="H1021" s="3"/>
      <c r="I1021" s="3"/>
      <c r="J1021" s="3"/>
      <c r="K1021" s="3"/>
      <c r="L1021" s="3"/>
      <c r="M1021" s="3"/>
    </row>
    <row r="1022" spans="1:13" s="34" customFormat="1">
      <c r="A1022" s="73"/>
      <c r="B1022" s="3"/>
      <c r="C1022" s="3"/>
      <c r="D1022" s="3"/>
      <c r="E1022" s="3"/>
      <c r="F1022" s="3"/>
      <c r="G1022" s="3"/>
      <c r="H1022" s="3"/>
      <c r="I1022" s="3"/>
      <c r="J1022" s="3"/>
      <c r="K1022" s="3"/>
      <c r="L1022" s="3"/>
      <c r="M1022" s="3"/>
    </row>
    <row r="1023" spans="1:13" s="34" customFormat="1">
      <c r="A1023" s="73"/>
      <c r="B1023" s="3"/>
      <c r="C1023" s="3"/>
      <c r="D1023" s="3"/>
      <c r="E1023" s="3"/>
      <c r="F1023" s="3"/>
      <c r="G1023" s="3"/>
      <c r="H1023" s="3"/>
      <c r="I1023" s="3"/>
      <c r="J1023" s="3"/>
      <c r="K1023" s="3"/>
      <c r="L1023" s="3"/>
      <c r="M1023" s="3"/>
    </row>
    <row r="1024" spans="1:13" s="34" customFormat="1">
      <c r="A1024" s="73"/>
      <c r="B1024" s="3"/>
      <c r="C1024" s="3"/>
      <c r="D1024" s="3"/>
      <c r="E1024" s="3"/>
      <c r="F1024" s="3"/>
      <c r="G1024" s="3"/>
      <c r="H1024" s="3"/>
      <c r="I1024" s="3"/>
      <c r="J1024" s="3"/>
      <c r="K1024" s="3"/>
      <c r="L1024" s="3"/>
      <c r="M1024" s="3"/>
    </row>
    <row r="1025" spans="1:13" s="34" customFormat="1">
      <c r="A1025" s="73"/>
      <c r="B1025" s="3"/>
      <c r="C1025" s="3"/>
      <c r="D1025" s="3"/>
      <c r="E1025" s="3"/>
      <c r="F1025" s="3"/>
      <c r="G1025" s="3"/>
      <c r="H1025" s="3"/>
      <c r="I1025" s="3"/>
      <c r="J1025" s="3"/>
      <c r="K1025" s="3"/>
      <c r="L1025" s="3"/>
      <c r="M1025" s="3"/>
    </row>
    <row r="1026" spans="1:13" s="34" customFormat="1">
      <c r="A1026" s="73"/>
      <c r="B1026" s="3"/>
      <c r="C1026" s="3"/>
      <c r="D1026" s="3"/>
      <c r="E1026" s="3"/>
      <c r="F1026" s="3"/>
      <c r="G1026" s="3"/>
      <c r="H1026" s="3"/>
      <c r="I1026" s="3"/>
      <c r="J1026" s="3"/>
      <c r="K1026" s="3"/>
      <c r="L1026" s="3"/>
      <c r="M1026" s="3"/>
    </row>
    <row r="1027" spans="1:13" s="34" customFormat="1">
      <c r="A1027" s="73"/>
      <c r="B1027" s="3"/>
      <c r="C1027" s="3"/>
      <c r="D1027" s="3"/>
      <c r="E1027" s="3"/>
      <c r="F1027" s="3"/>
      <c r="G1027" s="3"/>
      <c r="H1027" s="3"/>
      <c r="I1027" s="3"/>
      <c r="J1027" s="3"/>
      <c r="K1027" s="3"/>
      <c r="L1027" s="3"/>
      <c r="M1027" s="3"/>
    </row>
    <row r="1028" spans="1:13" s="34" customFormat="1">
      <c r="A1028" s="73"/>
      <c r="B1028" s="3"/>
      <c r="C1028" s="3"/>
      <c r="D1028" s="3"/>
      <c r="E1028" s="3"/>
      <c r="F1028" s="3"/>
      <c r="G1028" s="3"/>
      <c r="H1028" s="3"/>
      <c r="I1028" s="3"/>
      <c r="J1028" s="3"/>
      <c r="K1028" s="3"/>
      <c r="L1028" s="3"/>
      <c r="M1028" s="3"/>
    </row>
    <row r="1029" spans="1:13" s="34" customFormat="1">
      <c r="A1029" s="73"/>
      <c r="B1029" s="3"/>
      <c r="C1029" s="3"/>
      <c r="D1029" s="3"/>
      <c r="E1029" s="3"/>
      <c r="F1029" s="3"/>
      <c r="G1029" s="3"/>
      <c r="H1029" s="3"/>
      <c r="I1029" s="3"/>
      <c r="J1029" s="3"/>
      <c r="K1029" s="3"/>
      <c r="L1029" s="3"/>
      <c r="M1029" s="3"/>
    </row>
    <row r="1030" spans="1:13" s="34" customFormat="1">
      <c r="A1030" s="73"/>
      <c r="B1030" s="3"/>
      <c r="C1030" s="3"/>
      <c r="D1030" s="3"/>
      <c r="E1030" s="3"/>
      <c r="F1030" s="3"/>
      <c r="G1030" s="3"/>
      <c r="H1030" s="3"/>
      <c r="I1030" s="3"/>
      <c r="J1030" s="3"/>
      <c r="K1030" s="3"/>
      <c r="L1030" s="3"/>
      <c r="M1030" s="3"/>
    </row>
    <row r="1031" spans="1:13" s="34" customFormat="1">
      <c r="A1031" s="73"/>
      <c r="B1031" s="3"/>
      <c r="C1031" s="3"/>
      <c r="D1031" s="3"/>
      <c r="E1031" s="3"/>
      <c r="F1031" s="3"/>
      <c r="G1031" s="3"/>
      <c r="H1031" s="3"/>
      <c r="I1031" s="3"/>
      <c r="J1031" s="3"/>
      <c r="K1031" s="3"/>
      <c r="L1031" s="3"/>
      <c r="M1031" s="3"/>
    </row>
    <row r="1032" spans="1:13" s="34" customFormat="1">
      <c r="A1032" s="73"/>
      <c r="B1032" s="3"/>
      <c r="C1032" s="3"/>
      <c r="D1032" s="3"/>
      <c r="E1032" s="3"/>
      <c r="F1032" s="3"/>
      <c r="G1032" s="3"/>
      <c r="H1032" s="3"/>
      <c r="I1032" s="3"/>
      <c r="J1032" s="3"/>
      <c r="K1032" s="3"/>
      <c r="L1032" s="3"/>
      <c r="M1032" s="3"/>
    </row>
    <row r="1033" spans="1:13" s="34" customFormat="1">
      <c r="A1033" s="73"/>
      <c r="B1033" s="3"/>
      <c r="C1033" s="3"/>
      <c r="D1033" s="3"/>
      <c r="E1033" s="3"/>
      <c r="F1033" s="3"/>
      <c r="G1033" s="3"/>
      <c r="H1033" s="3"/>
      <c r="I1033" s="3"/>
      <c r="J1033" s="3"/>
      <c r="K1033" s="3"/>
      <c r="L1033" s="3"/>
      <c r="M1033" s="3"/>
    </row>
    <row r="1034" spans="1:13" s="34" customFormat="1">
      <c r="A1034" s="73"/>
      <c r="B1034" s="3"/>
      <c r="C1034" s="3"/>
      <c r="D1034" s="3"/>
      <c r="E1034" s="3"/>
      <c r="F1034" s="3"/>
      <c r="G1034" s="3"/>
      <c r="H1034" s="3"/>
      <c r="I1034" s="3"/>
      <c r="J1034" s="3"/>
      <c r="K1034" s="3"/>
      <c r="L1034" s="3"/>
      <c r="M1034" s="3"/>
    </row>
    <row r="1035" spans="1:13" s="34" customFormat="1">
      <c r="A1035" s="73"/>
      <c r="B1035" s="3"/>
      <c r="C1035" s="3"/>
      <c r="D1035" s="3"/>
      <c r="E1035" s="3"/>
      <c r="F1035" s="3"/>
      <c r="G1035" s="3"/>
      <c r="H1035" s="3"/>
      <c r="I1035" s="3"/>
      <c r="J1035" s="3"/>
      <c r="K1035" s="3"/>
      <c r="L1035" s="3"/>
      <c r="M1035" s="3"/>
    </row>
    <row r="1036" spans="1:13" s="34" customFormat="1">
      <c r="A1036" s="73"/>
      <c r="B1036" s="3"/>
      <c r="C1036" s="3"/>
      <c r="D1036" s="3"/>
      <c r="E1036" s="3"/>
      <c r="F1036" s="3"/>
      <c r="G1036" s="3"/>
      <c r="H1036" s="3"/>
      <c r="I1036" s="3"/>
      <c r="J1036" s="3"/>
      <c r="K1036" s="3"/>
      <c r="L1036" s="3"/>
      <c r="M1036" s="3"/>
    </row>
    <row r="1037" spans="1:13" s="34" customFormat="1">
      <c r="A1037" s="73"/>
      <c r="B1037" s="3"/>
      <c r="C1037" s="3"/>
      <c r="D1037" s="3"/>
      <c r="E1037" s="3"/>
      <c r="F1037" s="3"/>
      <c r="G1037" s="3"/>
      <c r="H1037" s="3"/>
      <c r="I1037" s="3"/>
      <c r="J1037" s="3"/>
      <c r="K1037" s="3"/>
      <c r="L1037" s="3"/>
      <c r="M1037" s="3"/>
    </row>
    <row r="1038" spans="1:13" s="34" customFormat="1">
      <c r="A1038" s="73"/>
      <c r="B1038" s="3"/>
      <c r="C1038" s="3"/>
      <c r="D1038" s="3"/>
      <c r="E1038" s="3"/>
      <c r="F1038" s="3"/>
      <c r="G1038" s="3"/>
      <c r="H1038" s="3"/>
      <c r="I1038" s="3"/>
      <c r="J1038" s="3"/>
      <c r="K1038" s="3"/>
      <c r="L1038" s="3"/>
      <c r="M1038" s="3"/>
    </row>
    <row r="1039" spans="1:13" s="34" customFormat="1">
      <c r="A1039" s="73"/>
      <c r="B1039" s="3"/>
      <c r="C1039" s="3"/>
      <c r="D1039" s="3"/>
      <c r="E1039" s="3"/>
      <c r="F1039" s="3"/>
      <c r="G1039" s="3"/>
      <c r="H1039" s="3"/>
      <c r="I1039" s="3"/>
      <c r="J1039" s="3"/>
      <c r="K1039" s="3"/>
      <c r="L1039" s="3"/>
      <c r="M1039" s="3"/>
    </row>
    <row r="1040" spans="1:13" s="34" customFormat="1">
      <c r="A1040" s="73"/>
      <c r="B1040" s="3"/>
      <c r="C1040" s="3"/>
      <c r="D1040" s="3"/>
      <c r="E1040" s="3"/>
      <c r="F1040" s="3"/>
      <c r="G1040" s="3"/>
      <c r="H1040" s="3"/>
      <c r="I1040" s="3"/>
      <c r="J1040" s="3"/>
      <c r="K1040" s="3"/>
      <c r="L1040" s="3"/>
      <c r="M1040" s="3"/>
    </row>
    <row r="1041" spans="1:13" s="34" customFormat="1">
      <c r="A1041" s="73"/>
      <c r="B1041" s="3"/>
      <c r="C1041" s="3"/>
      <c r="D1041" s="3"/>
      <c r="E1041" s="3"/>
      <c r="F1041" s="3"/>
      <c r="G1041" s="3"/>
      <c r="H1041" s="3"/>
      <c r="I1041" s="3"/>
      <c r="J1041" s="3"/>
      <c r="K1041" s="3"/>
      <c r="L1041" s="3"/>
      <c r="M1041" s="3"/>
    </row>
    <row r="1042" spans="1:13" s="34" customFormat="1">
      <c r="A1042" s="73"/>
      <c r="B1042" s="3"/>
      <c r="C1042" s="3"/>
      <c r="D1042" s="3"/>
      <c r="E1042" s="3"/>
      <c r="F1042" s="3"/>
      <c r="G1042" s="3"/>
      <c r="H1042" s="3"/>
      <c r="I1042" s="3"/>
      <c r="J1042" s="3"/>
      <c r="K1042" s="3"/>
      <c r="L1042" s="3"/>
      <c r="M1042" s="3"/>
    </row>
    <row r="1043" spans="1:13" s="34" customFormat="1">
      <c r="A1043" s="73"/>
      <c r="B1043" s="3"/>
      <c r="C1043" s="3"/>
      <c r="D1043" s="3"/>
      <c r="E1043" s="3"/>
      <c r="F1043" s="3"/>
      <c r="G1043" s="3"/>
      <c r="H1043" s="3"/>
      <c r="I1043" s="3"/>
      <c r="J1043" s="3"/>
      <c r="K1043" s="3"/>
      <c r="L1043" s="3"/>
      <c r="M1043" s="3"/>
    </row>
    <row r="1044" spans="1:13" s="34" customFormat="1">
      <c r="A1044" s="73"/>
      <c r="B1044" s="3"/>
      <c r="C1044" s="3"/>
      <c r="D1044" s="3"/>
      <c r="E1044" s="3"/>
      <c r="F1044" s="3"/>
      <c r="G1044" s="3"/>
      <c r="H1044" s="3"/>
      <c r="I1044" s="3"/>
      <c r="J1044" s="3"/>
      <c r="K1044" s="3"/>
      <c r="L1044" s="3"/>
      <c r="M1044" s="3"/>
    </row>
    <row r="1045" spans="1:13" s="34" customFormat="1">
      <c r="A1045" s="73"/>
      <c r="B1045" s="3"/>
      <c r="C1045" s="3"/>
      <c r="D1045" s="3"/>
      <c r="E1045" s="3"/>
      <c r="F1045" s="3"/>
      <c r="G1045" s="3"/>
      <c r="H1045" s="3"/>
      <c r="I1045" s="3"/>
      <c r="J1045" s="3"/>
      <c r="K1045" s="3"/>
      <c r="L1045" s="3"/>
      <c r="M1045" s="3"/>
    </row>
    <row r="1046" spans="1:13" s="34" customFormat="1">
      <c r="A1046" s="73"/>
      <c r="B1046" s="3"/>
      <c r="C1046" s="3"/>
      <c r="D1046" s="3"/>
      <c r="E1046" s="3"/>
      <c r="F1046" s="3"/>
      <c r="G1046" s="3"/>
      <c r="H1046" s="3"/>
      <c r="I1046" s="3"/>
      <c r="J1046" s="3"/>
      <c r="K1046" s="3"/>
      <c r="L1046" s="3"/>
      <c r="M1046" s="3"/>
    </row>
    <row r="1047" spans="1:13" s="34" customFormat="1">
      <c r="A1047" s="73"/>
      <c r="B1047" s="3"/>
      <c r="C1047" s="3"/>
      <c r="D1047" s="3"/>
      <c r="E1047" s="3"/>
      <c r="F1047" s="3"/>
      <c r="G1047" s="3"/>
      <c r="H1047" s="3"/>
      <c r="I1047" s="3"/>
      <c r="J1047" s="3"/>
      <c r="K1047" s="3"/>
      <c r="L1047" s="3"/>
      <c r="M1047" s="3"/>
    </row>
    <row r="1048" spans="1:13" s="34" customFormat="1">
      <c r="A1048" s="73"/>
      <c r="B1048" s="3"/>
      <c r="C1048" s="3"/>
      <c r="D1048" s="3"/>
      <c r="E1048" s="3"/>
      <c r="F1048" s="3"/>
      <c r="G1048" s="3"/>
      <c r="H1048" s="3"/>
      <c r="I1048" s="3"/>
      <c r="J1048" s="3"/>
      <c r="K1048" s="3"/>
      <c r="L1048" s="3"/>
      <c r="M1048" s="3"/>
    </row>
    <row r="1049" spans="1:13" s="34" customFormat="1">
      <c r="A1049" s="73"/>
      <c r="B1049" s="3"/>
      <c r="C1049" s="3"/>
      <c r="D1049" s="3"/>
      <c r="E1049" s="3"/>
      <c r="F1049" s="3"/>
      <c r="G1049" s="3"/>
      <c r="H1049" s="3"/>
      <c r="I1049" s="3"/>
      <c r="J1049" s="3"/>
      <c r="K1049" s="3"/>
      <c r="L1049" s="3"/>
      <c r="M1049" s="3"/>
    </row>
    <row r="1050" spans="1:13" s="34" customFormat="1">
      <c r="A1050" s="73"/>
      <c r="B1050" s="3"/>
      <c r="C1050" s="3"/>
      <c r="D1050" s="3"/>
      <c r="E1050" s="3"/>
      <c r="F1050" s="3"/>
      <c r="G1050" s="3"/>
      <c r="H1050" s="3"/>
      <c r="I1050" s="3"/>
      <c r="J1050" s="3"/>
      <c r="K1050" s="3"/>
      <c r="L1050" s="3"/>
      <c r="M1050" s="3"/>
    </row>
    <row r="1051" spans="1:13" s="34" customFormat="1">
      <c r="A1051" s="73"/>
      <c r="B1051" s="3"/>
      <c r="C1051" s="3"/>
      <c r="D1051" s="3"/>
      <c r="E1051" s="3"/>
      <c r="F1051" s="3"/>
      <c r="G1051" s="3"/>
      <c r="H1051" s="3"/>
      <c r="I1051" s="3"/>
      <c r="J1051" s="3"/>
      <c r="K1051" s="3"/>
      <c r="L1051" s="3"/>
      <c r="M1051" s="3"/>
    </row>
    <row r="1052" spans="1:13" s="34" customFormat="1">
      <c r="A1052" s="73"/>
      <c r="B1052" s="3"/>
      <c r="C1052" s="3"/>
      <c r="D1052" s="3"/>
      <c r="E1052" s="3"/>
      <c r="F1052" s="3"/>
      <c r="G1052" s="3"/>
      <c r="H1052" s="3"/>
      <c r="I1052" s="3"/>
      <c r="J1052" s="3"/>
      <c r="K1052" s="3"/>
      <c r="L1052" s="3"/>
      <c r="M1052" s="3"/>
    </row>
    <row r="1053" spans="1:13" s="34" customFormat="1">
      <c r="A1053" s="73"/>
      <c r="B1053" s="3"/>
      <c r="C1053" s="3"/>
      <c r="D1053" s="3"/>
      <c r="E1053" s="3"/>
      <c r="F1053" s="3"/>
      <c r="G1053" s="3"/>
      <c r="H1053" s="3"/>
      <c r="I1053" s="3"/>
      <c r="J1053" s="3"/>
      <c r="K1053" s="3"/>
      <c r="L1053" s="3"/>
      <c r="M1053" s="3"/>
    </row>
    <row r="1054" spans="1:13" s="34" customFormat="1">
      <c r="A1054" s="73"/>
      <c r="B1054" s="3"/>
      <c r="C1054" s="3"/>
      <c r="D1054" s="3"/>
      <c r="E1054" s="3"/>
      <c r="F1054" s="3"/>
      <c r="G1054" s="3"/>
      <c r="H1054" s="3"/>
      <c r="I1054" s="3"/>
      <c r="J1054" s="3"/>
      <c r="K1054" s="3"/>
      <c r="L1054" s="3"/>
      <c r="M1054" s="3"/>
    </row>
    <row r="1055" spans="1:13" s="34" customFormat="1">
      <c r="A1055" s="73"/>
      <c r="B1055" s="3"/>
      <c r="C1055" s="3"/>
      <c r="D1055" s="3"/>
      <c r="E1055" s="3"/>
      <c r="F1055" s="3"/>
      <c r="G1055" s="3"/>
      <c r="H1055" s="3"/>
      <c r="I1055" s="3"/>
      <c r="J1055" s="3"/>
      <c r="K1055" s="3"/>
      <c r="L1055" s="3"/>
      <c r="M1055" s="3"/>
    </row>
    <row r="1056" spans="1:13" s="34" customFormat="1">
      <c r="A1056" s="73"/>
      <c r="B1056" s="3"/>
      <c r="C1056" s="3"/>
      <c r="D1056" s="3"/>
      <c r="E1056" s="3"/>
      <c r="F1056" s="3"/>
      <c r="G1056" s="3"/>
      <c r="H1056" s="3"/>
      <c r="I1056" s="3"/>
      <c r="J1056" s="3"/>
      <c r="K1056" s="3"/>
      <c r="L1056" s="3"/>
      <c r="M1056" s="3"/>
    </row>
    <row r="1057" spans="1:13" s="34" customFormat="1">
      <c r="A1057" s="73"/>
      <c r="B1057" s="3"/>
      <c r="C1057" s="3"/>
      <c r="D1057" s="3"/>
      <c r="E1057" s="3"/>
      <c r="F1057" s="3"/>
      <c r="G1057" s="3"/>
      <c r="H1057" s="3"/>
      <c r="I1057" s="3"/>
      <c r="J1057" s="3"/>
      <c r="K1057" s="3"/>
      <c r="L1057" s="3"/>
      <c r="M1057" s="3"/>
    </row>
    <row r="1058" spans="1:13" s="34" customFormat="1">
      <c r="A1058" s="73"/>
      <c r="B1058" s="3"/>
      <c r="C1058" s="3"/>
      <c r="D1058" s="3"/>
      <c r="E1058" s="3"/>
      <c r="F1058" s="3"/>
      <c r="G1058" s="3"/>
      <c r="H1058" s="3"/>
      <c r="I1058" s="3"/>
      <c r="J1058" s="3"/>
      <c r="K1058" s="3"/>
      <c r="L1058" s="3"/>
      <c r="M1058" s="3"/>
    </row>
    <row r="1059" spans="1:13" s="34" customFormat="1">
      <c r="A1059" s="73"/>
      <c r="B1059" s="3"/>
      <c r="C1059" s="3"/>
      <c r="D1059" s="3"/>
      <c r="E1059" s="3"/>
      <c r="F1059" s="3"/>
      <c r="G1059" s="3"/>
      <c r="H1059" s="3"/>
      <c r="I1059" s="3"/>
      <c r="J1059" s="3"/>
      <c r="K1059" s="3"/>
      <c r="L1059" s="3"/>
      <c r="M1059" s="3"/>
    </row>
    <row r="1060" spans="1:13" s="34" customFormat="1">
      <c r="A1060" s="73"/>
      <c r="B1060" s="3"/>
      <c r="C1060" s="3"/>
      <c r="D1060" s="3"/>
      <c r="E1060" s="3"/>
      <c r="F1060" s="3"/>
      <c r="G1060" s="3"/>
      <c r="H1060" s="3"/>
      <c r="I1060" s="3"/>
      <c r="J1060" s="3"/>
      <c r="K1060" s="3"/>
      <c r="L1060" s="3"/>
      <c r="M1060" s="3"/>
    </row>
    <row r="1061" spans="1:13" s="34" customFormat="1">
      <c r="A1061" s="73"/>
      <c r="B1061" s="3"/>
      <c r="C1061" s="3"/>
      <c r="D1061" s="3"/>
      <c r="E1061" s="3"/>
      <c r="F1061" s="3"/>
      <c r="G1061" s="3"/>
      <c r="H1061" s="3"/>
      <c r="I1061" s="3"/>
      <c r="J1061" s="3"/>
      <c r="K1061" s="3"/>
      <c r="L1061" s="3"/>
      <c r="M1061" s="3"/>
    </row>
    <row r="1062" spans="1:13" s="34" customFormat="1">
      <c r="A1062" s="73"/>
      <c r="B1062" s="3"/>
      <c r="C1062" s="3"/>
      <c r="D1062" s="3"/>
      <c r="E1062" s="3"/>
      <c r="F1062" s="3"/>
      <c r="G1062" s="3"/>
      <c r="H1062" s="3"/>
      <c r="I1062" s="3"/>
      <c r="J1062" s="3"/>
      <c r="K1062" s="3"/>
      <c r="L1062" s="3"/>
      <c r="M1062" s="3"/>
    </row>
    <row r="1063" spans="1:13" s="34" customFormat="1">
      <c r="A1063" s="73"/>
      <c r="B1063" s="3"/>
      <c r="C1063" s="3"/>
      <c r="D1063" s="3"/>
      <c r="E1063" s="3"/>
      <c r="F1063" s="3"/>
      <c r="G1063" s="3"/>
      <c r="H1063" s="3"/>
      <c r="I1063" s="3"/>
      <c r="J1063" s="3"/>
      <c r="K1063" s="3"/>
      <c r="L1063" s="3"/>
      <c r="M1063" s="3"/>
    </row>
    <row r="1064" spans="1:13" s="34" customFormat="1">
      <c r="A1064" s="73"/>
      <c r="B1064" s="3"/>
      <c r="C1064" s="3"/>
      <c r="D1064" s="3"/>
      <c r="E1064" s="3"/>
      <c r="F1064" s="3"/>
      <c r="G1064" s="3"/>
      <c r="H1064" s="3"/>
      <c r="I1064" s="3"/>
      <c r="J1064" s="3"/>
      <c r="K1064" s="3"/>
      <c r="L1064" s="3"/>
      <c r="M1064" s="3"/>
    </row>
    <row r="1065" spans="1:13" s="34" customFormat="1">
      <c r="A1065" s="73"/>
      <c r="B1065" s="3"/>
      <c r="C1065" s="3"/>
      <c r="D1065" s="3"/>
      <c r="E1065" s="3"/>
      <c r="F1065" s="3"/>
      <c r="G1065" s="3"/>
      <c r="H1065" s="3"/>
      <c r="I1065" s="3"/>
      <c r="J1065" s="3"/>
      <c r="K1065" s="3"/>
      <c r="L1065" s="3"/>
      <c r="M1065" s="3"/>
    </row>
    <row r="1066" spans="1:13" s="34" customFormat="1">
      <c r="A1066" s="73"/>
      <c r="B1066" s="3"/>
      <c r="C1066" s="3"/>
      <c r="D1066" s="3"/>
      <c r="E1066" s="3"/>
      <c r="F1066" s="3"/>
      <c r="G1066" s="3"/>
      <c r="H1066" s="3"/>
      <c r="I1066" s="3"/>
      <c r="J1066" s="3"/>
      <c r="K1066" s="3"/>
      <c r="L1066" s="3"/>
      <c r="M1066" s="3"/>
    </row>
    <row r="1067" spans="1:13" s="34" customFormat="1">
      <c r="A1067" s="73"/>
      <c r="B1067" s="3"/>
      <c r="C1067" s="3"/>
      <c r="D1067" s="3"/>
      <c r="E1067" s="3"/>
      <c r="F1067" s="3"/>
      <c r="G1067" s="3"/>
      <c r="H1067" s="3"/>
      <c r="I1067" s="3"/>
      <c r="J1067" s="3"/>
      <c r="K1067" s="3"/>
      <c r="L1067" s="3"/>
      <c r="M1067" s="3"/>
    </row>
    <row r="1068" spans="1:13" s="34" customFormat="1">
      <c r="A1068" s="73"/>
      <c r="B1068" s="3"/>
      <c r="C1068" s="3"/>
      <c r="D1068" s="3"/>
      <c r="E1068" s="3"/>
      <c r="F1068" s="3"/>
      <c r="G1068" s="3"/>
      <c r="H1068" s="3"/>
      <c r="I1068" s="3"/>
      <c r="J1068" s="3"/>
      <c r="K1068" s="3"/>
      <c r="L1068" s="3"/>
      <c r="M1068" s="3"/>
    </row>
    <row r="1069" spans="1:13" s="34" customFormat="1">
      <c r="A1069" s="73"/>
      <c r="B1069" s="3"/>
      <c r="C1069" s="3"/>
      <c r="D1069" s="3"/>
      <c r="E1069" s="3"/>
      <c r="F1069" s="3"/>
      <c r="G1069" s="3"/>
      <c r="H1069" s="3"/>
      <c r="I1069" s="3"/>
      <c r="J1069" s="3"/>
      <c r="K1069" s="3"/>
      <c r="L1069" s="3"/>
      <c r="M1069" s="3"/>
    </row>
    <row r="1070" spans="1:13" s="34" customFormat="1">
      <c r="A1070" s="73"/>
      <c r="B1070" s="3"/>
      <c r="C1070" s="3"/>
      <c r="D1070" s="3"/>
      <c r="E1070" s="3"/>
      <c r="F1070" s="3"/>
      <c r="G1070" s="3"/>
      <c r="H1070" s="3"/>
      <c r="I1070" s="3"/>
      <c r="J1070" s="3"/>
      <c r="K1070" s="3"/>
      <c r="L1070" s="3"/>
      <c r="M1070" s="3"/>
    </row>
    <row r="1071" spans="1:13" s="34" customFormat="1">
      <c r="A1071" s="73"/>
      <c r="B1071" s="3"/>
      <c r="C1071" s="3"/>
      <c r="D1071" s="3"/>
      <c r="E1071" s="3"/>
      <c r="F1071" s="3"/>
      <c r="G1071" s="3"/>
      <c r="H1071" s="3"/>
      <c r="I1071" s="3"/>
      <c r="J1071" s="3"/>
      <c r="K1071" s="3"/>
      <c r="L1071" s="3"/>
      <c r="M1071" s="3"/>
    </row>
    <row r="1072" spans="1:13" s="34" customFormat="1">
      <c r="A1072" s="73"/>
      <c r="B1072" s="3"/>
      <c r="C1072" s="3"/>
      <c r="D1072" s="3"/>
      <c r="E1072" s="3"/>
      <c r="F1072" s="3"/>
      <c r="G1072" s="3"/>
      <c r="H1072" s="3"/>
      <c r="I1072" s="3"/>
      <c r="J1072" s="3"/>
      <c r="K1072" s="3"/>
      <c r="L1072" s="3"/>
      <c r="M1072" s="3"/>
    </row>
    <row r="1073" spans="1:13" s="34" customFormat="1">
      <c r="A1073" s="73"/>
      <c r="B1073" s="3"/>
      <c r="C1073" s="3"/>
      <c r="D1073" s="3"/>
      <c r="E1073" s="3"/>
      <c r="F1073" s="3"/>
      <c r="G1073" s="3"/>
      <c r="H1073" s="3"/>
      <c r="I1073" s="3"/>
      <c r="J1073" s="3"/>
      <c r="K1073" s="3"/>
      <c r="L1073" s="3"/>
      <c r="M1073" s="3"/>
    </row>
    <row r="1074" spans="1:13" s="34" customFormat="1">
      <c r="A1074" s="73"/>
      <c r="B1074" s="3"/>
      <c r="C1074" s="3"/>
      <c r="D1074" s="3"/>
      <c r="E1074" s="3"/>
      <c r="F1074" s="3"/>
      <c r="G1074" s="3"/>
      <c r="H1074" s="3"/>
      <c r="I1074" s="3"/>
      <c r="J1074" s="3"/>
      <c r="K1074" s="3"/>
      <c r="L1074" s="3"/>
      <c r="M1074" s="3"/>
    </row>
    <row r="1075" spans="1:13" s="34" customFormat="1">
      <c r="A1075" s="73"/>
      <c r="B1075" s="3"/>
      <c r="C1075" s="3"/>
      <c r="D1075" s="3"/>
      <c r="E1075" s="3"/>
      <c r="F1075" s="3"/>
      <c r="G1075" s="3"/>
      <c r="H1075" s="3"/>
      <c r="I1075" s="3"/>
      <c r="J1075" s="3"/>
      <c r="K1075" s="3"/>
      <c r="L1075" s="3"/>
      <c r="M1075" s="3"/>
    </row>
    <row r="1076" spans="1:13" s="34" customFormat="1">
      <c r="A1076" s="73"/>
      <c r="B1076" s="3"/>
      <c r="C1076" s="3"/>
      <c r="D1076" s="3"/>
      <c r="E1076" s="3"/>
      <c r="F1076" s="3"/>
      <c r="G1076" s="3"/>
      <c r="H1076" s="3"/>
      <c r="I1076" s="3"/>
      <c r="J1076" s="3"/>
      <c r="K1076" s="3"/>
      <c r="L1076" s="3"/>
      <c r="M1076" s="3"/>
    </row>
    <row r="1077" spans="1:13" s="34" customFormat="1">
      <c r="A1077" s="73"/>
      <c r="B1077" s="3"/>
      <c r="C1077" s="3"/>
      <c r="D1077" s="3"/>
      <c r="E1077" s="3"/>
      <c r="F1077" s="3"/>
      <c r="G1077" s="3"/>
      <c r="H1077" s="3"/>
      <c r="I1077" s="3"/>
      <c r="J1077" s="3"/>
      <c r="K1077" s="3"/>
      <c r="L1077" s="3"/>
      <c r="M1077" s="3"/>
    </row>
    <row r="1078" spans="1:13" s="34" customFormat="1">
      <c r="A1078" s="73"/>
      <c r="B1078" s="3"/>
      <c r="C1078" s="3"/>
      <c r="D1078" s="3"/>
      <c r="E1078" s="3"/>
      <c r="F1078" s="3"/>
      <c r="G1078" s="3"/>
      <c r="H1078" s="3"/>
      <c r="I1078" s="3"/>
      <c r="J1078" s="3"/>
      <c r="K1078" s="3"/>
      <c r="L1078" s="3"/>
      <c r="M1078" s="3"/>
    </row>
    <row r="1079" spans="1:13" s="34" customFormat="1">
      <c r="A1079" s="73"/>
      <c r="B1079" s="3"/>
      <c r="C1079" s="3"/>
      <c r="D1079" s="3"/>
      <c r="E1079" s="3"/>
      <c r="F1079" s="3"/>
      <c r="G1079" s="3"/>
      <c r="H1079" s="3"/>
      <c r="I1079" s="3"/>
      <c r="J1079" s="3"/>
      <c r="K1079" s="3"/>
      <c r="L1079" s="3"/>
      <c r="M1079" s="3"/>
    </row>
    <row r="1080" spans="1:13" s="34" customFormat="1">
      <c r="A1080" s="73"/>
      <c r="B1080" s="3"/>
      <c r="C1080" s="3"/>
      <c r="D1080" s="3"/>
      <c r="E1080" s="3"/>
      <c r="F1080" s="3"/>
      <c r="G1080" s="3"/>
      <c r="H1080" s="3"/>
      <c r="I1080" s="3"/>
      <c r="J1080" s="3"/>
      <c r="K1080" s="3"/>
      <c r="L1080" s="3"/>
      <c r="M1080" s="3"/>
    </row>
    <row r="1081" spans="1:13" s="34" customFormat="1">
      <c r="A1081" s="73"/>
      <c r="B1081" s="3"/>
      <c r="C1081" s="3"/>
      <c r="D1081" s="3"/>
      <c r="E1081" s="3"/>
      <c r="F1081" s="3"/>
      <c r="G1081" s="3"/>
      <c r="H1081" s="3"/>
      <c r="I1081" s="3"/>
      <c r="J1081" s="3"/>
      <c r="K1081" s="3"/>
      <c r="L1081" s="3"/>
      <c r="M1081" s="3"/>
    </row>
    <row r="1082" spans="1:13" s="34" customFormat="1">
      <c r="A1082" s="73"/>
      <c r="B1082" s="3"/>
      <c r="C1082" s="3"/>
      <c r="D1082" s="3"/>
      <c r="E1082" s="3"/>
      <c r="F1082" s="3"/>
      <c r="G1082" s="3"/>
      <c r="H1082" s="3"/>
      <c r="I1082" s="3"/>
      <c r="J1082" s="3"/>
      <c r="K1082" s="3"/>
      <c r="L1082" s="3"/>
      <c r="M1082" s="3"/>
    </row>
    <row r="1083" spans="1:13" s="34" customFormat="1">
      <c r="A1083" s="73"/>
      <c r="B1083" s="3"/>
      <c r="C1083" s="3"/>
      <c r="D1083" s="3"/>
      <c r="E1083" s="3"/>
      <c r="F1083" s="3"/>
      <c r="G1083" s="3"/>
      <c r="H1083" s="3"/>
      <c r="I1083" s="3"/>
      <c r="J1083" s="3"/>
      <c r="K1083" s="3"/>
      <c r="L1083" s="3"/>
      <c r="M1083" s="3"/>
    </row>
    <row r="1084" spans="1:13" s="34" customFormat="1">
      <c r="A1084" s="73"/>
      <c r="B1084" s="3"/>
      <c r="C1084" s="3"/>
      <c r="D1084" s="3"/>
      <c r="E1084" s="3"/>
      <c r="F1084" s="3"/>
      <c r="G1084" s="3"/>
      <c r="H1084" s="3"/>
      <c r="I1084" s="3"/>
      <c r="J1084" s="3"/>
      <c r="K1084" s="3"/>
      <c r="L1084" s="3"/>
      <c r="M1084" s="3"/>
    </row>
    <row r="1085" spans="1:13" s="34" customFormat="1">
      <c r="A1085" s="73"/>
      <c r="B1085" s="3"/>
      <c r="C1085" s="3"/>
      <c r="D1085" s="3"/>
      <c r="E1085" s="3"/>
      <c r="F1085" s="3"/>
      <c r="G1085" s="3"/>
      <c r="H1085" s="3"/>
      <c r="I1085" s="3"/>
      <c r="J1085" s="3"/>
      <c r="K1085" s="3"/>
      <c r="L1085" s="3"/>
      <c r="M1085" s="3"/>
    </row>
    <row r="1086" spans="1:13" s="34" customFormat="1">
      <c r="A1086" s="73"/>
      <c r="B1086" s="3"/>
      <c r="C1086" s="3"/>
      <c r="D1086" s="3"/>
      <c r="E1086" s="3"/>
      <c r="F1086" s="3"/>
      <c r="G1086" s="3"/>
      <c r="H1086" s="3"/>
      <c r="I1086" s="3"/>
      <c r="J1086" s="3"/>
      <c r="K1086" s="3"/>
      <c r="L1086" s="3"/>
      <c r="M1086" s="3"/>
    </row>
    <row r="1087" spans="1:13" s="34" customFormat="1">
      <c r="A1087" s="73"/>
      <c r="B1087" s="3"/>
      <c r="C1087" s="3"/>
      <c r="D1087" s="3"/>
      <c r="E1087" s="3"/>
      <c r="F1087" s="3"/>
      <c r="G1087" s="3"/>
      <c r="H1087" s="3"/>
      <c r="I1087" s="3"/>
      <c r="J1087" s="3"/>
      <c r="K1087" s="3"/>
      <c r="L1087" s="3"/>
      <c r="M1087" s="3"/>
    </row>
    <row r="1088" spans="1:13" s="34" customFormat="1">
      <c r="A1088" s="73"/>
      <c r="B1088" s="3"/>
      <c r="C1088" s="3"/>
      <c r="D1088" s="3"/>
      <c r="E1088" s="3"/>
      <c r="F1088" s="3"/>
      <c r="G1088" s="3"/>
      <c r="H1088" s="3"/>
      <c r="I1088" s="3"/>
      <c r="J1088" s="3"/>
      <c r="K1088" s="3"/>
      <c r="L1088" s="3"/>
      <c r="M1088" s="3"/>
    </row>
    <row r="1089" spans="1:13" s="34" customFormat="1">
      <c r="A1089" s="73"/>
      <c r="B1089" s="3"/>
      <c r="C1089" s="3"/>
      <c r="D1089" s="3"/>
      <c r="E1089" s="3"/>
      <c r="F1089" s="3"/>
      <c r="G1089" s="3"/>
      <c r="H1089" s="3"/>
      <c r="I1089" s="3"/>
      <c r="J1089" s="3"/>
      <c r="K1089" s="3"/>
      <c r="L1089" s="3"/>
      <c r="M1089" s="3"/>
    </row>
    <row r="1090" spans="1:13" s="34" customFormat="1">
      <c r="A1090" s="73"/>
      <c r="B1090" s="3"/>
      <c r="C1090" s="3"/>
      <c r="D1090" s="3"/>
      <c r="E1090" s="3"/>
      <c r="F1090" s="3"/>
      <c r="G1090" s="3"/>
      <c r="H1090" s="3"/>
      <c r="I1090" s="3"/>
      <c r="J1090" s="3"/>
      <c r="K1090" s="3"/>
      <c r="L1090" s="3"/>
      <c r="M1090" s="3"/>
    </row>
    <row r="1091" spans="1:13" s="34" customFormat="1">
      <c r="A1091" s="73"/>
      <c r="B1091" s="3"/>
      <c r="C1091" s="3"/>
      <c r="D1091" s="3"/>
      <c r="E1091" s="3"/>
      <c r="F1091" s="3"/>
      <c r="G1091" s="3"/>
      <c r="H1091" s="3"/>
      <c r="I1091" s="3"/>
      <c r="J1091" s="3"/>
      <c r="K1091" s="3"/>
      <c r="L1091" s="3"/>
      <c r="M1091" s="3"/>
    </row>
    <row r="1092" spans="1:13" s="34" customFormat="1">
      <c r="A1092" s="73"/>
      <c r="B1092" s="3"/>
      <c r="C1092" s="3"/>
      <c r="D1092" s="3"/>
      <c r="E1092" s="3"/>
      <c r="F1092" s="3"/>
      <c r="G1092" s="3"/>
      <c r="H1092" s="3"/>
      <c r="I1092" s="3"/>
      <c r="J1092" s="3"/>
      <c r="K1092" s="3"/>
      <c r="L1092" s="3"/>
      <c r="M1092" s="3"/>
    </row>
    <row r="1093" spans="1:13" s="34" customFormat="1">
      <c r="A1093" s="73"/>
      <c r="B1093" s="3"/>
      <c r="C1093" s="3"/>
      <c r="D1093" s="3"/>
      <c r="E1093" s="3"/>
      <c r="F1093" s="3"/>
      <c r="G1093" s="3"/>
      <c r="H1093" s="3"/>
      <c r="I1093" s="3"/>
      <c r="J1093" s="3"/>
      <c r="K1093" s="3"/>
      <c r="L1093" s="3"/>
      <c r="M1093" s="3"/>
    </row>
    <row r="1094" spans="1:13" s="34" customFormat="1">
      <c r="A1094" s="73"/>
      <c r="B1094" s="3"/>
      <c r="C1094" s="3"/>
      <c r="D1094" s="3"/>
      <c r="E1094" s="3"/>
      <c r="F1094" s="3"/>
      <c r="G1094" s="3"/>
      <c r="H1094" s="3"/>
      <c r="I1094" s="3"/>
      <c r="J1094" s="3"/>
      <c r="K1094" s="3"/>
      <c r="L1094" s="3"/>
      <c r="M1094" s="3"/>
    </row>
    <row r="1095" spans="1:13" s="34" customFormat="1">
      <c r="A1095" s="73"/>
      <c r="B1095" s="3"/>
      <c r="C1095" s="3"/>
      <c r="D1095" s="3"/>
      <c r="E1095" s="3"/>
      <c r="F1095" s="3"/>
      <c r="G1095" s="3"/>
      <c r="H1095" s="3"/>
      <c r="I1095" s="3"/>
      <c r="J1095" s="3"/>
      <c r="K1095" s="3"/>
      <c r="L1095" s="3"/>
      <c r="M1095" s="3"/>
    </row>
    <row r="1096" spans="1:13" s="34" customFormat="1">
      <c r="A1096" s="73"/>
      <c r="B1096" s="3"/>
      <c r="C1096" s="3"/>
      <c r="D1096" s="3"/>
      <c r="E1096" s="3"/>
      <c r="F1096" s="3"/>
      <c r="G1096" s="3"/>
      <c r="H1096" s="3"/>
      <c r="I1096" s="3"/>
      <c r="J1096" s="3"/>
      <c r="K1096" s="3"/>
      <c r="L1096" s="3"/>
      <c r="M1096" s="3"/>
    </row>
    <row r="1097" spans="1:13" s="34" customFormat="1">
      <c r="A1097" s="73"/>
      <c r="B1097" s="3"/>
      <c r="C1097" s="3"/>
      <c r="D1097" s="3"/>
      <c r="E1097" s="3"/>
      <c r="F1097" s="3"/>
      <c r="G1097" s="3"/>
      <c r="H1097" s="3"/>
      <c r="I1097" s="3"/>
      <c r="J1097" s="3"/>
      <c r="K1097" s="3"/>
      <c r="L1097" s="3"/>
      <c r="M1097" s="3"/>
    </row>
    <row r="1098" spans="1:13" s="34" customFormat="1">
      <c r="A1098" s="73"/>
      <c r="B1098" s="3"/>
      <c r="C1098" s="3"/>
      <c r="D1098" s="3"/>
      <c r="E1098" s="3"/>
      <c r="F1098" s="3"/>
      <c r="G1098" s="3"/>
      <c r="H1098" s="3"/>
      <c r="I1098" s="3"/>
      <c r="J1098" s="3"/>
      <c r="K1098" s="3"/>
      <c r="L1098" s="3"/>
      <c r="M1098" s="3"/>
    </row>
    <row r="1099" spans="1:13" s="34" customFormat="1">
      <c r="A1099" s="73"/>
      <c r="B1099" s="3"/>
      <c r="C1099" s="3"/>
      <c r="D1099" s="3"/>
      <c r="E1099" s="3"/>
      <c r="F1099" s="3"/>
      <c r="G1099" s="3"/>
      <c r="H1099" s="3"/>
      <c r="I1099" s="3"/>
      <c r="J1099" s="3"/>
      <c r="K1099" s="3"/>
      <c r="L1099" s="3"/>
      <c r="M1099" s="3"/>
    </row>
    <row r="1100" spans="1:13" s="34" customFormat="1">
      <c r="A1100" s="73"/>
      <c r="B1100" s="3"/>
      <c r="C1100" s="3"/>
      <c r="D1100" s="3"/>
      <c r="E1100" s="3"/>
      <c r="F1100" s="3"/>
      <c r="G1100" s="3"/>
      <c r="H1100" s="3"/>
      <c r="I1100" s="3"/>
      <c r="J1100" s="3"/>
      <c r="K1100" s="3"/>
      <c r="L1100" s="3"/>
      <c r="M1100" s="3"/>
    </row>
    <row r="1101" spans="1:13" s="34" customFormat="1">
      <c r="A1101" s="73"/>
      <c r="B1101" s="3"/>
      <c r="C1101" s="3"/>
      <c r="D1101" s="3"/>
      <c r="E1101" s="3"/>
      <c r="F1101" s="3"/>
      <c r="G1101" s="3"/>
      <c r="H1101" s="3"/>
      <c r="I1101" s="3"/>
      <c r="J1101" s="3"/>
      <c r="K1101" s="3"/>
      <c r="L1101" s="3"/>
      <c r="M1101" s="3"/>
    </row>
    <row r="1102" spans="1:13" s="34" customFormat="1">
      <c r="A1102" s="73"/>
      <c r="B1102" s="3"/>
      <c r="C1102" s="3"/>
      <c r="D1102" s="3"/>
      <c r="E1102" s="3"/>
      <c r="F1102" s="3"/>
      <c r="G1102" s="3"/>
      <c r="H1102" s="3"/>
      <c r="I1102" s="3"/>
      <c r="J1102" s="3"/>
      <c r="K1102" s="3"/>
      <c r="L1102" s="3"/>
      <c r="M1102" s="3"/>
    </row>
    <row r="1103" spans="1:13" s="34" customFormat="1">
      <c r="A1103" s="73"/>
      <c r="B1103" s="3"/>
      <c r="C1103" s="3"/>
      <c r="D1103" s="3"/>
      <c r="E1103" s="3"/>
      <c r="F1103" s="3"/>
      <c r="G1103" s="3"/>
      <c r="H1103" s="3"/>
      <c r="I1103" s="3"/>
      <c r="J1103" s="3"/>
      <c r="K1103" s="3"/>
      <c r="L1103" s="3"/>
      <c r="M1103" s="3"/>
    </row>
    <row r="1104" spans="1:13" s="34" customFormat="1">
      <c r="A1104" s="73"/>
      <c r="B1104" s="3"/>
      <c r="C1104" s="3"/>
      <c r="D1104" s="3"/>
      <c r="E1104" s="3"/>
      <c r="F1104" s="3"/>
      <c r="G1104" s="3"/>
      <c r="H1104" s="3"/>
      <c r="I1104" s="3"/>
      <c r="J1104" s="3"/>
      <c r="K1104" s="3"/>
      <c r="L1104" s="3"/>
      <c r="M1104" s="3"/>
    </row>
    <row r="1105" spans="1:13" s="34" customFormat="1">
      <c r="A1105" s="73"/>
      <c r="B1105" s="3"/>
      <c r="C1105" s="3"/>
      <c r="D1105" s="3"/>
      <c r="E1105" s="3"/>
      <c r="F1105" s="3"/>
      <c r="G1105" s="3"/>
      <c r="H1105" s="3"/>
      <c r="I1105" s="3"/>
      <c r="J1105" s="3"/>
      <c r="K1105" s="3"/>
      <c r="L1105" s="3"/>
      <c r="M1105" s="3"/>
    </row>
    <row r="1106" spans="1:13" s="34" customFormat="1">
      <c r="A1106" s="73"/>
      <c r="B1106" s="3"/>
      <c r="C1106" s="3"/>
      <c r="D1106" s="3"/>
      <c r="E1106" s="3"/>
      <c r="F1106" s="3"/>
      <c r="G1106" s="3"/>
      <c r="H1106" s="3"/>
      <c r="I1106" s="3"/>
      <c r="J1106" s="3"/>
      <c r="K1106" s="3"/>
      <c r="L1106" s="3"/>
      <c r="M1106" s="3"/>
    </row>
    <row r="1107" spans="1:13" s="34" customFormat="1">
      <c r="A1107" s="73"/>
      <c r="B1107" s="3"/>
      <c r="C1107" s="3"/>
      <c r="D1107" s="3"/>
      <c r="E1107" s="3"/>
      <c r="F1107" s="3"/>
      <c r="G1107" s="3"/>
      <c r="H1107" s="3"/>
      <c r="I1107" s="3"/>
      <c r="J1107" s="3"/>
      <c r="K1107" s="3"/>
      <c r="L1107" s="3"/>
      <c r="M1107" s="3"/>
    </row>
    <row r="1108" spans="1:13" s="34" customFormat="1">
      <c r="A1108" s="73"/>
      <c r="B1108" s="3"/>
      <c r="C1108" s="3"/>
      <c r="D1108" s="3"/>
      <c r="E1108" s="3"/>
      <c r="F1108" s="3"/>
      <c r="G1108" s="3"/>
      <c r="H1108" s="3"/>
      <c r="I1108" s="3"/>
      <c r="J1108" s="3"/>
      <c r="K1108" s="3"/>
      <c r="L1108" s="3"/>
      <c r="M1108" s="3"/>
    </row>
    <row r="1109" spans="1:13" s="34" customFormat="1">
      <c r="A1109" s="73"/>
      <c r="B1109" s="3"/>
      <c r="C1109" s="3"/>
      <c r="D1109" s="3"/>
      <c r="E1109" s="3"/>
      <c r="F1109" s="3"/>
      <c r="G1109" s="3"/>
      <c r="H1109" s="3"/>
      <c r="I1109" s="3"/>
      <c r="J1109" s="3"/>
      <c r="K1109" s="3"/>
      <c r="L1109" s="3"/>
      <c r="M1109" s="3"/>
    </row>
    <row r="1110" spans="1:13" s="34" customFormat="1">
      <c r="A1110" s="73"/>
      <c r="B1110" s="3"/>
      <c r="C1110" s="3"/>
      <c r="D1110" s="3"/>
      <c r="E1110" s="3"/>
      <c r="F1110" s="3"/>
      <c r="G1110" s="3"/>
      <c r="H1110" s="3"/>
      <c r="I1110" s="3"/>
      <c r="J1110" s="3"/>
      <c r="K1110" s="3"/>
      <c r="L1110" s="3"/>
      <c r="M1110" s="3"/>
    </row>
    <row r="1111" spans="1:13" s="34" customFormat="1">
      <c r="A1111" s="73"/>
      <c r="B1111" s="3"/>
      <c r="C1111" s="3"/>
      <c r="D1111" s="3"/>
      <c r="E1111" s="3"/>
      <c r="F1111" s="3"/>
      <c r="G1111" s="3"/>
      <c r="H1111" s="3"/>
      <c r="I1111" s="3"/>
      <c r="J1111" s="3"/>
      <c r="K1111" s="3"/>
      <c r="L1111" s="3"/>
      <c r="M1111" s="3"/>
    </row>
    <row r="1112" spans="1:13" s="34" customFormat="1">
      <c r="A1112" s="73"/>
      <c r="B1112" s="3"/>
      <c r="C1112" s="3"/>
      <c r="D1112" s="3"/>
      <c r="E1112" s="3"/>
      <c r="F1112" s="3"/>
      <c r="G1112" s="3"/>
      <c r="H1112" s="3"/>
      <c r="I1112" s="3"/>
      <c r="J1112" s="3"/>
      <c r="K1112" s="3"/>
      <c r="L1112" s="3"/>
      <c r="M1112" s="3"/>
    </row>
    <row r="1113" spans="1:13" s="34" customFormat="1">
      <c r="A1113" s="73"/>
      <c r="B1113" s="3"/>
      <c r="C1113" s="3"/>
      <c r="D1113" s="3"/>
      <c r="E1113" s="3"/>
      <c r="F1113" s="3"/>
      <c r="G1113" s="3"/>
      <c r="H1113" s="3"/>
      <c r="I1113" s="3"/>
      <c r="J1113" s="3"/>
      <c r="K1113" s="3"/>
      <c r="L1113" s="3"/>
      <c r="M1113" s="3"/>
    </row>
    <row r="1114" spans="1:13" s="34" customFormat="1">
      <c r="A1114" s="73"/>
      <c r="B1114" s="3"/>
      <c r="C1114" s="3"/>
      <c r="D1114" s="3"/>
      <c r="E1114" s="3"/>
      <c r="F1114" s="3"/>
      <c r="G1114" s="3"/>
      <c r="H1114" s="3"/>
      <c r="I1114" s="3"/>
      <c r="J1114" s="3"/>
      <c r="K1114" s="3"/>
      <c r="L1114" s="3"/>
      <c r="M1114" s="3"/>
    </row>
    <row r="1115" spans="1:13" s="34" customFormat="1">
      <c r="A1115" s="73"/>
      <c r="B1115" s="3"/>
      <c r="C1115" s="3"/>
      <c r="D1115" s="3"/>
      <c r="E1115" s="3"/>
      <c r="F1115" s="3"/>
      <c r="G1115" s="3"/>
      <c r="H1115" s="3"/>
      <c r="I1115" s="3"/>
      <c r="J1115" s="3"/>
      <c r="K1115" s="3"/>
      <c r="L1115" s="3"/>
      <c r="M1115" s="3"/>
    </row>
    <row r="1116" spans="1:13" s="34" customFormat="1">
      <c r="A1116" s="73"/>
      <c r="B1116" s="3"/>
      <c r="C1116" s="3"/>
      <c r="D1116" s="3"/>
      <c r="E1116" s="3"/>
      <c r="F1116" s="3"/>
      <c r="G1116" s="3"/>
      <c r="H1116" s="3"/>
      <c r="I1116" s="3"/>
      <c r="J1116" s="3"/>
      <c r="K1116" s="3"/>
      <c r="L1116" s="3"/>
      <c r="M1116" s="3"/>
    </row>
    <row r="1117" spans="1:13" s="34" customFormat="1">
      <c r="A1117" s="73"/>
      <c r="B1117" s="3"/>
      <c r="C1117" s="3"/>
      <c r="D1117" s="3"/>
      <c r="E1117" s="3"/>
      <c r="F1117" s="3"/>
      <c r="G1117" s="3"/>
      <c r="H1117" s="3"/>
      <c r="I1117" s="3"/>
      <c r="J1117" s="3"/>
      <c r="K1117" s="3"/>
      <c r="L1117" s="3"/>
      <c r="M1117" s="3"/>
    </row>
    <row r="1118" spans="1:13" s="34" customFormat="1">
      <c r="A1118" s="73"/>
      <c r="B1118" s="3"/>
      <c r="C1118" s="3"/>
      <c r="D1118" s="3"/>
      <c r="E1118" s="3"/>
      <c r="F1118" s="3"/>
      <c r="G1118" s="3"/>
      <c r="H1118" s="3"/>
      <c r="I1118" s="3"/>
      <c r="J1118" s="3"/>
      <c r="K1118" s="3"/>
      <c r="L1118" s="3"/>
      <c r="M1118" s="3"/>
    </row>
    <row r="1119" spans="1:13" s="34" customFormat="1">
      <c r="A1119" s="73"/>
      <c r="B1119" s="3"/>
      <c r="C1119" s="3"/>
      <c r="D1119" s="3"/>
      <c r="E1119" s="3"/>
      <c r="F1119" s="3"/>
      <c r="G1119" s="3"/>
      <c r="H1119" s="3"/>
      <c r="I1119" s="3"/>
      <c r="J1119" s="3"/>
      <c r="K1119" s="3"/>
      <c r="L1119" s="3"/>
      <c r="M1119" s="3"/>
    </row>
    <row r="1120" spans="1:13" s="34" customFormat="1">
      <c r="A1120" s="73"/>
      <c r="B1120" s="3"/>
      <c r="C1120" s="3"/>
      <c r="D1120" s="3"/>
      <c r="E1120" s="3"/>
      <c r="F1120" s="3"/>
      <c r="G1120" s="3"/>
      <c r="H1120" s="3"/>
      <c r="I1120" s="3"/>
      <c r="J1120" s="3"/>
      <c r="K1120" s="3"/>
      <c r="L1120" s="3"/>
      <c r="M1120" s="3"/>
    </row>
    <row r="1121" spans="1:13" s="34" customFormat="1">
      <c r="A1121" s="73"/>
      <c r="B1121" s="3"/>
      <c r="C1121" s="3"/>
      <c r="D1121" s="3"/>
      <c r="E1121" s="3"/>
      <c r="F1121" s="3"/>
      <c r="G1121" s="3"/>
      <c r="H1121" s="3"/>
      <c r="I1121" s="3"/>
      <c r="J1121" s="3"/>
      <c r="K1121" s="3"/>
      <c r="L1121" s="3"/>
      <c r="M1121" s="3"/>
    </row>
    <row r="1122" spans="1:13" s="34" customFormat="1">
      <c r="A1122" s="73"/>
      <c r="B1122" s="3"/>
      <c r="C1122" s="3"/>
      <c r="D1122" s="3"/>
      <c r="E1122" s="3"/>
      <c r="F1122" s="3"/>
      <c r="G1122" s="3"/>
      <c r="H1122" s="3"/>
      <c r="I1122" s="3"/>
      <c r="J1122" s="3"/>
      <c r="K1122" s="3"/>
      <c r="L1122" s="3"/>
      <c r="M1122" s="3"/>
    </row>
    <row r="1123" spans="1:13" s="34" customFormat="1">
      <c r="A1123" s="73"/>
      <c r="B1123" s="3"/>
      <c r="C1123" s="3"/>
      <c r="D1123" s="3"/>
      <c r="E1123" s="3"/>
      <c r="F1123" s="3"/>
      <c r="G1123" s="3"/>
      <c r="H1123" s="3"/>
      <c r="I1123" s="3"/>
      <c r="J1123" s="3"/>
      <c r="K1123" s="3"/>
      <c r="L1123" s="3"/>
      <c r="M1123" s="3"/>
    </row>
    <row r="1124" spans="1:13" s="34" customFormat="1">
      <c r="A1124" s="73"/>
      <c r="B1124" s="3"/>
      <c r="C1124" s="3"/>
      <c r="D1124" s="3"/>
      <c r="E1124" s="3"/>
      <c r="F1124" s="3"/>
      <c r="G1124" s="3"/>
      <c r="H1124" s="3"/>
      <c r="I1124" s="3"/>
      <c r="J1124" s="3"/>
      <c r="K1124" s="3"/>
      <c r="L1124" s="3"/>
      <c r="M1124" s="3"/>
    </row>
    <row r="1125" spans="1:13" s="34" customFormat="1">
      <c r="A1125" s="73"/>
      <c r="B1125" s="3"/>
      <c r="C1125" s="3"/>
      <c r="D1125" s="3"/>
      <c r="E1125" s="3"/>
      <c r="F1125" s="3"/>
      <c r="G1125" s="3"/>
      <c r="H1125" s="3"/>
      <c r="I1125" s="3"/>
      <c r="J1125" s="3"/>
      <c r="K1125" s="3"/>
      <c r="L1125" s="3"/>
      <c r="M1125" s="3"/>
    </row>
    <row r="1126" spans="1:13" s="34" customFormat="1">
      <c r="A1126" s="73"/>
      <c r="B1126" s="3"/>
      <c r="C1126" s="3"/>
      <c r="D1126" s="3"/>
      <c r="E1126" s="3"/>
      <c r="F1126" s="3"/>
      <c r="G1126" s="3"/>
      <c r="H1126" s="3"/>
      <c r="I1126" s="3"/>
      <c r="J1126" s="3"/>
      <c r="K1126" s="3"/>
      <c r="L1126" s="3"/>
      <c r="M1126" s="3"/>
    </row>
    <row r="1127" spans="1:13" s="34" customFormat="1">
      <c r="A1127" s="73"/>
      <c r="B1127" s="3"/>
      <c r="C1127" s="3"/>
      <c r="D1127" s="3"/>
      <c r="E1127" s="3"/>
      <c r="F1127" s="3"/>
      <c r="G1127" s="3"/>
      <c r="H1127" s="3"/>
      <c r="I1127" s="3"/>
      <c r="J1127" s="3"/>
      <c r="K1127" s="3"/>
      <c r="L1127" s="3"/>
      <c r="M1127" s="3"/>
    </row>
    <row r="1128" spans="1:13" s="34" customFormat="1">
      <c r="A1128" s="73"/>
      <c r="B1128" s="3"/>
      <c r="C1128" s="3"/>
      <c r="D1128" s="3"/>
      <c r="E1128" s="3"/>
      <c r="F1128" s="3"/>
      <c r="G1128" s="3"/>
      <c r="H1128" s="3"/>
      <c r="I1128" s="3"/>
      <c r="J1128" s="3"/>
      <c r="K1128" s="3"/>
      <c r="L1128" s="3"/>
      <c r="M1128" s="3"/>
    </row>
    <row r="1129" spans="1:13" s="34" customFormat="1">
      <c r="A1129" s="73"/>
      <c r="B1129" s="3"/>
      <c r="C1129" s="3"/>
      <c r="D1129" s="3"/>
      <c r="E1129" s="3"/>
      <c r="F1129" s="3"/>
      <c r="G1129" s="3"/>
      <c r="H1129" s="3"/>
      <c r="I1129" s="3"/>
      <c r="J1129" s="3"/>
      <c r="K1129" s="3"/>
      <c r="L1129" s="3"/>
      <c r="M1129" s="3"/>
    </row>
    <row r="1130" spans="1:13" s="34" customFormat="1">
      <c r="A1130" s="73"/>
      <c r="B1130" s="3"/>
      <c r="C1130" s="3"/>
      <c r="D1130" s="3"/>
      <c r="E1130" s="3"/>
      <c r="F1130" s="3"/>
      <c r="G1130" s="3"/>
      <c r="H1130" s="3"/>
      <c r="I1130" s="3"/>
      <c r="J1130" s="3"/>
      <c r="K1130" s="3"/>
      <c r="L1130" s="3"/>
      <c r="M1130" s="3"/>
    </row>
    <row r="1131" spans="1:13" s="34" customFormat="1">
      <c r="A1131" s="73"/>
      <c r="B1131" s="3"/>
      <c r="C1131" s="3"/>
      <c r="D1131" s="3"/>
      <c r="E1131" s="3"/>
      <c r="F1131" s="3"/>
      <c r="G1131" s="3"/>
      <c r="H1131" s="3"/>
      <c r="I1131" s="3"/>
      <c r="J1131" s="3"/>
      <c r="K1131" s="3"/>
      <c r="L1131" s="3"/>
      <c r="M1131" s="3"/>
    </row>
    <row r="1132" spans="1:13" s="34" customFormat="1">
      <c r="A1132" s="73"/>
      <c r="B1132" s="3"/>
      <c r="C1132" s="3"/>
      <c r="D1132" s="3"/>
      <c r="E1132" s="3"/>
      <c r="F1132" s="3"/>
      <c r="G1132" s="3"/>
      <c r="H1132" s="3"/>
      <c r="I1132" s="3"/>
      <c r="J1132" s="3"/>
      <c r="K1132" s="3"/>
      <c r="L1132" s="3"/>
      <c r="M1132" s="3"/>
    </row>
    <row r="1133" spans="1:13" s="34" customFormat="1">
      <c r="A1133" s="73"/>
      <c r="B1133" s="3"/>
      <c r="C1133" s="3"/>
      <c r="D1133" s="3"/>
      <c r="E1133" s="3"/>
      <c r="F1133" s="3"/>
      <c r="G1133" s="3"/>
      <c r="H1133" s="3"/>
      <c r="I1133" s="3"/>
      <c r="J1133" s="3"/>
      <c r="K1133" s="3"/>
      <c r="L1133" s="3"/>
      <c r="M1133" s="3"/>
    </row>
    <row r="1134" spans="1:13" s="34" customFormat="1">
      <c r="A1134" s="73"/>
      <c r="B1134" s="3"/>
      <c r="C1134" s="3"/>
      <c r="D1134" s="3"/>
      <c r="E1134" s="3"/>
      <c r="F1134" s="3"/>
      <c r="G1134" s="3"/>
      <c r="H1134" s="3"/>
      <c r="I1134" s="3"/>
      <c r="J1134" s="3"/>
      <c r="K1134" s="3"/>
      <c r="L1134" s="3"/>
      <c r="M1134" s="3"/>
    </row>
    <row r="1135" spans="1:13" s="34" customFormat="1">
      <c r="A1135" s="73"/>
      <c r="B1135" s="3"/>
      <c r="C1135" s="3"/>
      <c r="D1135" s="3"/>
      <c r="E1135" s="3"/>
      <c r="F1135" s="3"/>
      <c r="G1135" s="3"/>
      <c r="H1135" s="3"/>
      <c r="I1135" s="3"/>
      <c r="J1135" s="3"/>
      <c r="K1135" s="3"/>
      <c r="L1135" s="3"/>
      <c r="M1135" s="3"/>
    </row>
    <row r="1136" spans="1:13" s="34" customFormat="1">
      <c r="A1136" s="73"/>
      <c r="B1136" s="3"/>
      <c r="C1136" s="3"/>
      <c r="D1136" s="3"/>
      <c r="E1136" s="3"/>
      <c r="F1136" s="3"/>
      <c r="G1136" s="3"/>
      <c r="H1136" s="3"/>
      <c r="I1136" s="3"/>
      <c r="J1136" s="3"/>
      <c r="K1136" s="3"/>
      <c r="L1136" s="3"/>
      <c r="M1136" s="3"/>
    </row>
    <row r="1137" spans="1:13" s="34" customFormat="1">
      <c r="A1137" s="73"/>
      <c r="B1137" s="3"/>
      <c r="C1137" s="3"/>
      <c r="D1137" s="3"/>
      <c r="E1137" s="3"/>
      <c r="F1137" s="3"/>
      <c r="G1137" s="3"/>
      <c r="H1137" s="3"/>
      <c r="I1137" s="3"/>
      <c r="J1137" s="3"/>
      <c r="K1137" s="3"/>
      <c r="L1137" s="3"/>
      <c r="M1137" s="3"/>
    </row>
    <row r="1138" spans="1:13" s="34" customFormat="1">
      <c r="A1138" s="73"/>
      <c r="B1138" s="3"/>
      <c r="C1138" s="3"/>
      <c r="D1138" s="3"/>
      <c r="E1138" s="3"/>
      <c r="F1138" s="3"/>
      <c r="G1138" s="3"/>
      <c r="H1138" s="3"/>
      <c r="I1138" s="3"/>
      <c r="J1138" s="3"/>
      <c r="K1138" s="3"/>
      <c r="L1138" s="3"/>
      <c r="M1138" s="3"/>
    </row>
    <row r="1139" spans="1:13" s="34" customFormat="1">
      <c r="A1139" s="73"/>
      <c r="B1139" s="3"/>
      <c r="C1139" s="3"/>
      <c r="D1139" s="3"/>
      <c r="E1139" s="3"/>
      <c r="F1139" s="3"/>
      <c r="G1139" s="3"/>
      <c r="H1139" s="3"/>
      <c r="I1139" s="3"/>
      <c r="J1139" s="3"/>
      <c r="K1139" s="3"/>
      <c r="L1139" s="3"/>
      <c r="M1139" s="3"/>
    </row>
    <row r="1140" spans="1:13" s="34" customFormat="1">
      <c r="A1140" s="73"/>
      <c r="B1140" s="3"/>
      <c r="C1140" s="3"/>
      <c r="D1140" s="3"/>
      <c r="E1140" s="3"/>
      <c r="F1140" s="3"/>
      <c r="G1140" s="3"/>
      <c r="H1140" s="3"/>
      <c r="I1140" s="3"/>
      <c r="J1140" s="3"/>
      <c r="K1140" s="3"/>
      <c r="L1140" s="3"/>
      <c r="M1140" s="3"/>
    </row>
    <row r="1141" spans="1:13" s="34" customFormat="1">
      <c r="A1141" s="73"/>
      <c r="B1141" s="3"/>
      <c r="C1141" s="3"/>
      <c r="D1141" s="3"/>
      <c r="E1141" s="3"/>
      <c r="F1141" s="3"/>
      <c r="G1141" s="3"/>
      <c r="H1141" s="3"/>
      <c r="I1141" s="3"/>
      <c r="J1141" s="3"/>
      <c r="K1141" s="3"/>
      <c r="L1141" s="3"/>
      <c r="M1141" s="3"/>
    </row>
    <row r="1142" spans="1:13" s="34" customFormat="1">
      <c r="A1142" s="73"/>
      <c r="B1142" s="3"/>
      <c r="C1142" s="3"/>
      <c r="D1142" s="3"/>
      <c r="E1142" s="3"/>
      <c r="F1142" s="3"/>
      <c r="G1142" s="3"/>
      <c r="H1142" s="3"/>
      <c r="I1142" s="3"/>
      <c r="J1142" s="3"/>
      <c r="K1142" s="3"/>
      <c r="L1142" s="3"/>
      <c r="M1142" s="3"/>
    </row>
    <row r="1143" spans="1:13" s="34" customFormat="1">
      <c r="A1143" s="73"/>
      <c r="B1143" s="3"/>
      <c r="C1143" s="3"/>
      <c r="D1143" s="3"/>
      <c r="E1143" s="3"/>
      <c r="F1143" s="3"/>
      <c r="G1143" s="3"/>
      <c r="H1143" s="3"/>
      <c r="I1143" s="3"/>
      <c r="J1143" s="3"/>
      <c r="K1143" s="3"/>
      <c r="L1143" s="3"/>
      <c r="M1143" s="3"/>
    </row>
    <row r="1144" spans="1:13" s="34" customFormat="1">
      <c r="A1144" s="73"/>
      <c r="B1144" s="3"/>
      <c r="C1144" s="3"/>
      <c r="D1144" s="3"/>
      <c r="E1144" s="3"/>
      <c r="F1144" s="3"/>
      <c r="G1144" s="3"/>
      <c r="H1144" s="3"/>
      <c r="I1144" s="3"/>
      <c r="J1144" s="3"/>
      <c r="K1144" s="3"/>
      <c r="L1144" s="3"/>
      <c r="M1144" s="3"/>
    </row>
    <row r="1145" spans="1:13" s="34" customFormat="1">
      <c r="A1145" s="73"/>
      <c r="B1145" s="3"/>
      <c r="C1145" s="3"/>
      <c r="D1145" s="3"/>
      <c r="E1145" s="3"/>
      <c r="F1145" s="3"/>
      <c r="G1145" s="3"/>
      <c r="H1145" s="3"/>
      <c r="I1145" s="3"/>
      <c r="J1145" s="3"/>
      <c r="K1145" s="3"/>
      <c r="L1145" s="3"/>
      <c r="M1145" s="3"/>
    </row>
    <row r="1146" spans="1:13" s="34" customFormat="1">
      <c r="A1146" s="73"/>
      <c r="B1146" s="3"/>
      <c r="C1146" s="3"/>
      <c r="D1146" s="3"/>
      <c r="E1146" s="3"/>
      <c r="F1146" s="3"/>
      <c r="G1146" s="3"/>
      <c r="H1146" s="3"/>
      <c r="I1146" s="3"/>
      <c r="J1146" s="3"/>
      <c r="K1146" s="3"/>
      <c r="L1146" s="3"/>
      <c r="M1146" s="3"/>
    </row>
    <row r="1147" spans="1:13" s="34" customFormat="1">
      <c r="A1147" s="73"/>
      <c r="B1147" s="3"/>
      <c r="C1147" s="3"/>
      <c r="D1147" s="3"/>
      <c r="E1147" s="3"/>
      <c r="F1147" s="3"/>
      <c r="G1147" s="3"/>
      <c r="H1147" s="3"/>
      <c r="I1147" s="3"/>
      <c r="J1147" s="3"/>
      <c r="K1147" s="3"/>
      <c r="L1147" s="3"/>
      <c r="M1147" s="3"/>
    </row>
    <row r="1148" spans="1:13" s="34" customFormat="1">
      <c r="A1148" s="73"/>
      <c r="B1148" s="3"/>
      <c r="C1148" s="3"/>
      <c r="D1148" s="3"/>
      <c r="E1148" s="3"/>
      <c r="F1148" s="3"/>
      <c r="G1148" s="3"/>
      <c r="H1148" s="3"/>
      <c r="I1148" s="3"/>
      <c r="J1148" s="3"/>
      <c r="K1148" s="3"/>
      <c r="L1148" s="3"/>
      <c r="M1148" s="3"/>
    </row>
    <row r="1149" spans="1:13" s="34" customFormat="1">
      <c r="A1149" s="73"/>
      <c r="B1149" s="3"/>
      <c r="C1149" s="3"/>
      <c r="D1149" s="3"/>
      <c r="E1149" s="3"/>
      <c r="F1149" s="3"/>
      <c r="G1149" s="3"/>
      <c r="H1149" s="3"/>
      <c r="I1149" s="3"/>
      <c r="J1149" s="3"/>
      <c r="K1149" s="3"/>
      <c r="L1149" s="3"/>
      <c r="M1149" s="3"/>
    </row>
    <row r="1150" spans="1:13" s="34" customFormat="1">
      <c r="A1150" s="73"/>
      <c r="B1150" s="3"/>
      <c r="C1150" s="3"/>
      <c r="D1150" s="3"/>
      <c r="E1150" s="3"/>
      <c r="F1150" s="3"/>
      <c r="G1150" s="3"/>
      <c r="H1150" s="3"/>
      <c r="I1150" s="3"/>
      <c r="J1150" s="3"/>
      <c r="K1150" s="3"/>
      <c r="L1150" s="3"/>
      <c r="M1150" s="3"/>
    </row>
    <row r="1151" spans="1:13" s="34" customFormat="1">
      <c r="A1151" s="73"/>
      <c r="B1151" s="3"/>
      <c r="C1151" s="3"/>
      <c r="D1151" s="3"/>
      <c r="E1151" s="3"/>
      <c r="F1151" s="3"/>
      <c r="G1151" s="3"/>
      <c r="H1151" s="3"/>
      <c r="I1151" s="3"/>
      <c r="J1151" s="3"/>
      <c r="K1151" s="3"/>
      <c r="L1151" s="3"/>
      <c r="M1151" s="3"/>
    </row>
    <row r="1152" spans="1:13" s="34" customFormat="1">
      <c r="A1152" s="73"/>
      <c r="B1152" s="3"/>
      <c r="C1152" s="3"/>
      <c r="D1152" s="3"/>
      <c r="E1152" s="3"/>
      <c r="F1152" s="3"/>
      <c r="G1152" s="3"/>
      <c r="H1152" s="3"/>
      <c r="I1152" s="3"/>
      <c r="J1152" s="3"/>
      <c r="K1152" s="3"/>
      <c r="L1152" s="3"/>
      <c r="M1152" s="3"/>
    </row>
    <row r="1153" spans="1:13" s="34" customFormat="1">
      <c r="A1153" s="73"/>
      <c r="B1153" s="3"/>
      <c r="C1153" s="3"/>
      <c r="D1153" s="3"/>
      <c r="E1153" s="3"/>
      <c r="F1153" s="3"/>
      <c r="G1153" s="3"/>
      <c r="H1153" s="3"/>
      <c r="I1153" s="3"/>
      <c r="J1153" s="3"/>
      <c r="K1153" s="3"/>
      <c r="L1153" s="3"/>
      <c r="M1153" s="3"/>
    </row>
    <row r="1154" spans="1:13" s="34" customFormat="1">
      <c r="A1154" s="73"/>
      <c r="B1154" s="3"/>
      <c r="C1154" s="3"/>
      <c r="D1154" s="3"/>
      <c r="E1154" s="3"/>
      <c r="F1154" s="3"/>
      <c r="G1154" s="3"/>
      <c r="H1154" s="3"/>
      <c r="I1154" s="3"/>
      <c r="J1154" s="3"/>
      <c r="K1154" s="3"/>
      <c r="L1154" s="3"/>
      <c r="M1154" s="3"/>
    </row>
    <row r="1155" spans="1:13" s="34" customFormat="1">
      <c r="A1155" s="73"/>
      <c r="B1155" s="3"/>
      <c r="C1155" s="3"/>
      <c r="D1155" s="3"/>
      <c r="E1155" s="3"/>
      <c r="F1155" s="3"/>
      <c r="G1155" s="3"/>
      <c r="H1155" s="3"/>
      <c r="I1155" s="3"/>
      <c r="J1155" s="3"/>
      <c r="K1155" s="3"/>
      <c r="L1155" s="3"/>
      <c r="M1155" s="3"/>
    </row>
    <row r="1156" spans="1:13" s="34" customFormat="1">
      <c r="A1156" s="73"/>
      <c r="B1156" s="3"/>
      <c r="C1156" s="3"/>
      <c r="D1156" s="3"/>
      <c r="E1156" s="3"/>
      <c r="F1156" s="3"/>
      <c r="G1156" s="3"/>
      <c r="H1156" s="3"/>
      <c r="I1156" s="3"/>
      <c r="J1156" s="3"/>
      <c r="K1156" s="3"/>
      <c r="L1156" s="3"/>
      <c r="M1156" s="3"/>
    </row>
    <row r="1157" spans="1:13" s="34" customFormat="1">
      <c r="A1157" s="73"/>
      <c r="B1157" s="3"/>
      <c r="C1157" s="3"/>
      <c r="D1157" s="3"/>
      <c r="E1157" s="3"/>
      <c r="F1157" s="3"/>
      <c r="G1157" s="3"/>
      <c r="H1157" s="3"/>
      <c r="I1157" s="3"/>
      <c r="J1157" s="3"/>
      <c r="K1157" s="3"/>
      <c r="L1157" s="3"/>
      <c r="M1157" s="3"/>
    </row>
    <row r="1158" spans="1:13" s="34" customFormat="1">
      <c r="A1158" s="73"/>
      <c r="B1158" s="3"/>
      <c r="C1158" s="3"/>
      <c r="D1158" s="3"/>
      <c r="E1158" s="3"/>
      <c r="F1158" s="3"/>
      <c r="G1158" s="3"/>
      <c r="H1158" s="3"/>
      <c r="I1158" s="3"/>
      <c r="J1158" s="3"/>
      <c r="K1158" s="3"/>
      <c r="L1158" s="3"/>
      <c r="M1158" s="3"/>
    </row>
    <row r="1159" spans="1:13" s="34" customFormat="1">
      <c r="A1159" s="73"/>
      <c r="B1159" s="3"/>
      <c r="C1159" s="3"/>
      <c r="D1159" s="3"/>
      <c r="E1159" s="3"/>
      <c r="F1159" s="3"/>
      <c r="G1159" s="3"/>
      <c r="H1159" s="3"/>
      <c r="I1159" s="3"/>
      <c r="J1159" s="3"/>
      <c r="K1159" s="3"/>
      <c r="L1159" s="3"/>
      <c r="M1159" s="3"/>
    </row>
    <row r="1160" spans="1:13" s="34" customFormat="1">
      <c r="A1160" s="73"/>
      <c r="B1160" s="3"/>
      <c r="C1160" s="3"/>
      <c r="D1160" s="3"/>
      <c r="E1160" s="3"/>
      <c r="F1160" s="3"/>
      <c r="G1160" s="3"/>
      <c r="H1160" s="3"/>
      <c r="I1160" s="3"/>
      <c r="J1160" s="3"/>
      <c r="K1160" s="3"/>
      <c r="L1160" s="3"/>
      <c r="M1160" s="3"/>
    </row>
    <row r="1161" spans="1:13" s="34" customFormat="1">
      <c r="A1161" s="73"/>
      <c r="B1161" s="3"/>
      <c r="C1161" s="3"/>
      <c r="D1161" s="3"/>
      <c r="E1161" s="3"/>
      <c r="F1161" s="3"/>
      <c r="G1161" s="3"/>
      <c r="H1161" s="3"/>
      <c r="I1161" s="3"/>
      <c r="J1161" s="3"/>
      <c r="K1161" s="3"/>
      <c r="L1161" s="3"/>
      <c r="M1161" s="3"/>
    </row>
    <row r="1162" spans="1:13" s="34" customFormat="1">
      <c r="A1162" s="73"/>
      <c r="B1162" s="3"/>
      <c r="C1162" s="3"/>
      <c r="D1162" s="3"/>
      <c r="E1162" s="3"/>
      <c r="F1162" s="3"/>
      <c r="G1162" s="3"/>
      <c r="H1162" s="3"/>
      <c r="I1162" s="3"/>
      <c r="J1162" s="3"/>
      <c r="K1162" s="3"/>
      <c r="L1162" s="3"/>
      <c r="M1162" s="3"/>
    </row>
    <row r="1163" spans="1:13" s="34" customFormat="1">
      <c r="A1163" s="73"/>
      <c r="B1163" s="3"/>
      <c r="C1163" s="3"/>
      <c r="D1163" s="3"/>
      <c r="E1163" s="3"/>
      <c r="F1163" s="3"/>
      <c r="G1163" s="3"/>
      <c r="H1163" s="3"/>
      <c r="I1163" s="3"/>
      <c r="J1163" s="3"/>
      <c r="K1163" s="3"/>
      <c r="L1163" s="3"/>
      <c r="M1163" s="3"/>
    </row>
    <row r="1164" spans="1:13" s="34" customFormat="1">
      <c r="A1164" s="73"/>
      <c r="B1164" s="3"/>
      <c r="C1164" s="3"/>
      <c r="D1164" s="3"/>
      <c r="E1164" s="3"/>
      <c r="F1164" s="3"/>
      <c r="G1164" s="3"/>
      <c r="H1164" s="3"/>
      <c r="I1164" s="3"/>
      <c r="J1164" s="3"/>
      <c r="K1164" s="3"/>
      <c r="L1164" s="3"/>
      <c r="M1164" s="3"/>
    </row>
    <row r="1165" spans="1:13" s="34" customFormat="1">
      <c r="A1165" s="73"/>
      <c r="B1165" s="3"/>
      <c r="C1165" s="3"/>
      <c r="D1165" s="3"/>
      <c r="E1165" s="3"/>
      <c r="F1165" s="3"/>
      <c r="G1165" s="3"/>
      <c r="H1165" s="3"/>
      <c r="I1165" s="3"/>
      <c r="J1165" s="3"/>
      <c r="K1165" s="3"/>
      <c r="L1165" s="3"/>
      <c r="M1165" s="3"/>
    </row>
    <row r="1166" spans="1:13" s="34" customFormat="1">
      <c r="A1166" s="73"/>
      <c r="B1166" s="3"/>
      <c r="C1166" s="3"/>
      <c r="D1166" s="3"/>
      <c r="E1166" s="3"/>
      <c r="F1166" s="3"/>
      <c r="G1166" s="3"/>
      <c r="H1166" s="3"/>
      <c r="I1166" s="3"/>
      <c r="J1166" s="3"/>
      <c r="K1166" s="3"/>
      <c r="L1166" s="3"/>
      <c r="M1166" s="3"/>
    </row>
    <row r="1167" spans="1:13" s="34" customFormat="1">
      <c r="A1167" s="73"/>
      <c r="B1167" s="3"/>
      <c r="C1167" s="3"/>
      <c r="D1167" s="3"/>
      <c r="E1167" s="3"/>
      <c r="F1167" s="3"/>
      <c r="G1167" s="3"/>
      <c r="H1167" s="3"/>
      <c r="I1167" s="3"/>
      <c r="J1167" s="3"/>
      <c r="K1167" s="3"/>
      <c r="L1167" s="3"/>
      <c r="M1167" s="3"/>
    </row>
    <row r="1168" spans="1:13" s="34" customFormat="1">
      <c r="A1168" s="73"/>
      <c r="B1168" s="3"/>
      <c r="C1168" s="3"/>
      <c r="D1168" s="3"/>
      <c r="E1168" s="3"/>
      <c r="F1168" s="3"/>
      <c r="G1168" s="3"/>
      <c r="H1168" s="3"/>
      <c r="I1168" s="3"/>
      <c r="J1168" s="3"/>
      <c r="K1168" s="3"/>
      <c r="L1168" s="3"/>
      <c r="M1168" s="3"/>
    </row>
    <row r="1169" spans="1:13" s="34" customFormat="1">
      <c r="A1169" s="73"/>
      <c r="B1169" s="3"/>
      <c r="C1169" s="3"/>
      <c r="D1169" s="3"/>
      <c r="E1169" s="3"/>
      <c r="F1169" s="3"/>
      <c r="G1169" s="3"/>
      <c r="H1169" s="3"/>
      <c r="I1169" s="3"/>
      <c r="J1169" s="3"/>
      <c r="K1169" s="3"/>
      <c r="L1169" s="3"/>
      <c r="M1169" s="3"/>
    </row>
    <row r="1170" spans="1:13" s="34" customFormat="1">
      <c r="A1170" s="73"/>
      <c r="B1170" s="3"/>
      <c r="C1170" s="3"/>
      <c r="D1170" s="3"/>
      <c r="E1170" s="3"/>
      <c r="F1170" s="3"/>
      <c r="G1170" s="3"/>
      <c r="H1170" s="3"/>
      <c r="I1170" s="3"/>
      <c r="J1170" s="3"/>
      <c r="K1170" s="3"/>
      <c r="L1170" s="3"/>
      <c r="M1170" s="3"/>
    </row>
    <row r="1171" spans="1:13" s="34" customFormat="1">
      <c r="A1171" s="73"/>
      <c r="B1171" s="3"/>
      <c r="C1171" s="3"/>
      <c r="D1171" s="3"/>
      <c r="E1171" s="3"/>
      <c r="F1171" s="3"/>
      <c r="G1171" s="3"/>
      <c r="H1171" s="3"/>
      <c r="I1171" s="3"/>
      <c r="J1171" s="3"/>
      <c r="K1171" s="3"/>
      <c r="L1171" s="3"/>
      <c r="M1171" s="3"/>
    </row>
    <row r="1172" spans="1:13" s="34" customFormat="1">
      <c r="A1172" s="73"/>
      <c r="B1172" s="3"/>
      <c r="C1172" s="3"/>
      <c r="D1172" s="3"/>
      <c r="E1172" s="3"/>
      <c r="F1172" s="3"/>
      <c r="G1172" s="3"/>
      <c r="H1172" s="3"/>
      <c r="I1172" s="3"/>
      <c r="J1172" s="3"/>
      <c r="K1172" s="3"/>
      <c r="L1172" s="3"/>
      <c r="M1172" s="3"/>
    </row>
    <row r="1173" spans="1:13" s="34" customFormat="1">
      <c r="A1173" s="73"/>
      <c r="B1173" s="3"/>
      <c r="C1173" s="3"/>
      <c r="D1173" s="3"/>
      <c r="E1173" s="3"/>
      <c r="F1173" s="3"/>
      <c r="G1173" s="3"/>
      <c r="H1173" s="3"/>
      <c r="I1173" s="3"/>
      <c r="J1173" s="3"/>
      <c r="K1173" s="3"/>
      <c r="L1173" s="3"/>
      <c r="M1173" s="3"/>
    </row>
    <row r="1174" spans="1:13" s="34" customFormat="1">
      <c r="A1174" s="73"/>
      <c r="B1174" s="3"/>
      <c r="C1174" s="3"/>
      <c r="D1174" s="3"/>
      <c r="E1174" s="3"/>
      <c r="F1174" s="3"/>
      <c r="G1174" s="3"/>
      <c r="H1174" s="3"/>
      <c r="I1174" s="3"/>
      <c r="J1174" s="3"/>
      <c r="K1174" s="3"/>
      <c r="L1174" s="3"/>
      <c r="M1174" s="3"/>
    </row>
    <row r="1175" spans="1:13" s="34" customFormat="1">
      <c r="A1175" s="73"/>
      <c r="B1175" s="3"/>
      <c r="C1175" s="3"/>
      <c r="D1175" s="3"/>
      <c r="E1175" s="3"/>
      <c r="F1175" s="3"/>
      <c r="G1175" s="3"/>
      <c r="H1175" s="3"/>
      <c r="I1175" s="3"/>
      <c r="J1175" s="3"/>
      <c r="K1175" s="3"/>
      <c r="L1175" s="3"/>
      <c r="M1175" s="3"/>
    </row>
    <row r="1176" spans="1:13" s="34" customFormat="1">
      <c r="A1176" s="73"/>
      <c r="B1176" s="3"/>
      <c r="C1176" s="3"/>
      <c r="D1176" s="3"/>
      <c r="E1176" s="3"/>
      <c r="F1176" s="3"/>
      <c r="G1176" s="3"/>
      <c r="H1176" s="3"/>
      <c r="I1176" s="3"/>
      <c r="J1176" s="3"/>
      <c r="K1176" s="3"/>
      <c r="L1176" s="3"/>
      <c r="M1176" s="3"/>
    </row>
    <row r="1177" spans="1:13" s="34" customFormat="1">
      <c r="A1177" s="73"/>
      <c r="B1177" s="3"/>
      <c r="C1177" s="3"/>
      <c r="D1177" s="3"/>
      <c r="E1177" s="3"/>
      <c r="F1177" s="3"/>
      <c r="G1177" s="3"/>
      <c r="H1177" s="3"/>
      <c r="I1177" s="3"/>
      <c r="J1177" s="3"/>
      <c r="K1177" s="3"/>
      <c r="L1177" s="3"/>
      <c r="M1177" s="3"/>
    </row>
    <row r="1178" spans="1:13" s="34" customFormat="1">
      <c r="A1178" s="73"/>
      <c r="B1178" s="3"/>
      <c r="C1178" s="3"/>
      <c r="D1178" s="3"/>
      <c r="E1178" s="3"/>
      <c r="F1178" s="3"/>
      <c r="G1178" s="3"/>
      <c r="H1178" s="3"/>
      <c r="I1178" s="3"/>
      <c r="J1178" s="3"/>
      <c r="K1178" s="3"/>
      <c r="L1178" s="3"/>
      <c r="M1178" s="3"/>
    </row>
    <row r="1179" spans="1:13" s="34" customFormat="1">
      <c r="A1179" s="73"/>
      <c r="B1179" s="3"/>
      <c r="C1179" s="3"/>
      <c r="D1179" s="3"/>
      <c r="E1179" s="3"/>
      <c r="F1179" s="3"/>
      <c r="G1179" s="3"/>
      <c r="H1179" s="3"/>
      <c r="I1179" s="3"/>
      <c r="J1179" s="3"/>
      <c r="K1179" s="3"/>
      <c r="L1179" s="3"/>
      <c r="M1179" s="3"/>
    </row>
    <row r="1180" spans="1:13" s="34" customFormat="1">
      <c r="A1180" s="73"/>
      <c r="B1180" s="3"/>
      <c r="C1180" s="3"/>
      <c r="D1180" s="3"/>
      <c r="E1180" s="3"/>
      <c r="F1180" s="3"/>
      <c r="G1180" s="3"/>
      <c r="H1180" s="3"/>
      <c r="I1180" s="3"/>
      <c r="J1180" s="3"/>
      <c r="K1180" s="3"/>
      <c r="L1180" s="3"/>
      <c r="M1180" s="3"/>
    </row>
    <row r="1181" spans="1:13" s="34" customFormat="1">
      <c r="A1181" s="73"/>
      <c r="B1181" s="3"/>
      <c r="C1181" s="3"/>
      <c r="D1181" s="3"/>
      <c r="E1181" s="3"/>
      <c r="F1181" s="3"/>
      <c r="G1181" s="3"/>
      <c r="H1181" s="3"/>
      <c r="I1181" s="3"/>
      <c r="J1181" s="3"/>
      <c r="K1181" s="3"/>
      <c r="L1181" s="3"/>
      <c r="M1181" s="3"/>
    </row>
    <row r="1182" spans="1:13" s="34" customFormat="1">
      <c r="A1182" s="73"/>
      <c r="B1182" s="3"/>
      <c r="C1182" s="3"/>
      <c r="D1182" s="3"/>
      <c r="E1182" s="3"/>
      <c r="F1182" s="3"/>
      <c r="G1182" s="3"/>
      <c r="H1182" s="3"/>
      <c r="I1182" s="3"/>
      <c r="J1182" s="3"/>
      <c r="K1182" s="3"/>
      <c r="L1182" s="3"/>
      <c r="M1182" s="3"/>
    </row>
    <row r="1183" spans="1:13" s="34" customFormat="1">
      <c r="A1183" s="73"/>
      <c r="B1183" s="3"/>
      <c r="C1183" s="3"/>
      <c r="D1183" s="3"/>
      <c r="E1183" s="3"/>
      <c r="F1183" s="3"/>
      <c r="G1183" s="3"/>
      <c r="H1183" s="3"/>
      <c r="I1183" s="3"/>
      <c r="J1183" s="3"/>
      <c r="K1183" s="3"/>
      <c r="L1183" s="3"/>
      <c r="M1183" s="3"/>
    </row>
    <row r="1184" spans="1:13" s="34" customFormat="1">
      <c r="A1184" s="73"/>
      <c r="B1184" s="3"/>
      <c r="C1184" s="3"/>
      <c r="D1184" s="3"/>
      <c r="E1184" s="3"/>
      <c r="F1184" s="3"/>
      <c r="G1184" s="3"/>
      <c r="H1184" s="3"/>
      <c r="I1184" s="3"/>
      <c r="J1184" s="3"/>
      <c r="K1184" s="3"/>
      <c r="L1184" s="3"/>
      <c r="M1184" s="3"/>
    </row>
    <row r="1185" spans="1:13" s="34" customFormat="1">
      <c r="A1185" s="73"/>
      <c r="B1185" s="3"/>
      <c r="C1185" s="3"/>
      <c r="D1185" s="3"/>
      <c r="E1185" s="3"/>
      <c r="F1185" s="3"/>
      <c r="G1185" s="3"/>
      <c r="H1185" s="3"/>
      <c r="I1185" s="3"/>
      <c r="J1185" s="3"/>
      <c r="K1185" s="3"/>
      <c r="L1185" s="3"/>
      <c r="M1185" s="3"/>
    </row>
    <row r="1186" spans="1:13" s="34" customFormat="1">
      <c r="A1186" s="73"/>
      <c r="B1186" s="3"/>
      <c r="C1186" s="3"/>
      <c r="D1186" s="3"/>
      <c r="E1186" s="3"/>
      <c r="F1186" s="3"/>
      <c r="G1186" s="3"/>
      <c r="H1186" s="3"/>
      <c r="I1186" s="3"/>
      <c r="J1186" s="3"/>
      <c r="K1186" s="3"/>
      <c r="L1186" s="3"/>
      <c r="M1186" s="3"/>
    </row>
    <row r="1187" spans="1:13" s="34" customFormat="1">
      <c r="A1187" s="73"/>
      <c r="B1187" s="3"/>
      <c r="C1187" s="3"/>
      <c r="D1187" s="3"/>
      <c r="E1187" s="3"/>
      <c r="F1187" s="3"/>
      <c r="G1187" s="3"/>
      <c r="H1187" s="3"/>
      <c r="I1187" s="3"/>
      <c r="J1187" s="3"/>
      <c r="K1187" s="3"/>
      <c r="L1187" s="3"/>
      <c r="M1187" s="3"/>
    </row>
    <row r="1188" spans="1:13" s="34" customFormat="1">
      <c r="A1188" s="73"/>
      <c r="B1188" s="3"/>
      <c r="C1188" s="3"/>
      <c r="D1188" s="3"/>
      <c r="E1188" s="3"/>
      <c r="F1188" s="3"/>
      <c r="G1188" s="3"/>
      <c r="H1188" s="3"/>
      <c r="I1188" s="3"/>
      <c r="J1188" s="3"/>
      <c r="K1188" s="3"/>
      <c r="L1188" s="3"/>
      <c r="M1188" s="3"/>
    </row>
    <row r="1189" spans="1:13" s="34" customFormat="1">
      <c r="A1189" s="73"/>
      <c r="B1189" s="3"/>
      <c r="C1189" s="3"/>
      <c r="D1189" s="3"/>
      <c r="E1189" s="3"/>
      <c r="F1189" s="3"/>
      <c r="G1189" s="3"/>
      <c r="H1189" s="3"/>
      <c r="I1189" s="3"/>
      <c r="J1189" s="3"/>
      <c r="K1189" s="3"/>
      <c r="L1189" s="3"/>
      <c r="M1189" s="3"/>
    </row>
    <row r="1190" spans="1:13" s="34" customFormat="1">
      <c r="A1190" s="73"/>
      <c r="B1190" s="3"/>
      <c r="C1190" s="3"/>
      <c r="D1190" s="3"/>
      <c r="E1190" s="3"/>
      <c r="F1190" s="3"/>
      <c r="G1190" s="3"/>
      <c r="H1190" s="3"/>
      <c r="I1190" s="3"/>
      <c r="J1190" s="3"/>
      <c r="K1190" s="3"/>
      <c r="L1190" s="3"/>
      <c r="M1190" s="3"/>
    </row>
    <row r="1191" spans="1:13" s="34" customFormat="1">
      <c r="A1191" s="73"/>
      <c r="B1191" s="3"/>
      <c r="C1191" s="3"/>
      <c r="D1191" s="3"/>
      <c r="E1191" s="3"/>
      <c r="F1191" s="3"/>
      <c r="G1191" s="3"/>
      <c r="H1191" s="3"/>
      <c r="I1191" s="3"/>
      <c r="J1191" s="3"/>
      <c r="K1191" s="3"/>
      <c r="L1191" s="3"/>
      <c r="M1191" s="3"/>
    </row>
    <row r="1192" spans="1:13" s="34" customFormat="1">
      <c r="A1192" s="73"/>
      <c r="B1192" s="3"/>
      <c r="C1192" s="3"/>
      <c r="D1192" s="3"/>
      <c r="E1192" s="3"/>
      <c r="F1192" s="3"/>
      <c r="G1192" s="3"/>
      <c r="H1192" s="3"/>
      <c r="I1192" s="3"/>
      <c r="J1192" s="3"/>
      <c r="K1192" s="3"/>
      <c r="L1192" s="3"/>
      <c r="M1192" s="3"/>
    </row>
    <row r="1193" spans="1:13" s="34" customFormat="1">
      <c r="A1193" s="73"/>
      <c r="B1193" s="3"/>
      <c r="C1193" s="3"/>
      <c r="D1193" s="3"/>
      <c r="E1193" s="3"/>
      <c r="F1193" s="3"/>
      <c r="G1193" s="3"/>
      <c r="H1193" s="3"/>
      <c r="I1193" s="3"/>
      <c r="J1193" s="3"/>
      <c r="K1193" s="3"/>
      <c r="L1193" s="3"/>
      <c r="M1193" s="3"/>
    </row>
    <row r="1194" spans="1:13" s="34" customFormat="1">
      <c r="A1194" s="73"/>
      <c r="B1194" s="3"/>
      <c r="C1194" s="3"/>
      <c r="D1194" s="3"/>
      <c r="E1194" s="3"/>
      <c r="F1194" s="3"/>
      <c r="G1194" s="3"/>
      <c r="H1194" s="3"/>
      <c r="I1194" s="3"/>
      <c r="J1194" s="3"/>
      <c r="K1194" s="3"/>
      <c r="L1194" s="3"/>
      <c r="M1194" s="3"/>
    </row>
    <row r="1195" spans="1:13" s="34" customFormat="1">
      <c r="A1195" s="73"/>
      <c r="B1195" s="3"/>
      <c r="C1195" s="3"/>
      <c r="D1195" s="3"/>
      <c r="E1195" s="3"/>
      <c r="F1195" s="3"/>
      <c r="G1195" s="3"/>
      <c r="H1195" s="3"/>
      <c r="I1195" s="3"/>
      <c r="J1195" s="3"/>
      <c r="K1195" s="3"/>
      <c r="L1195" s="3"/>
      <c r="M1195" s="3"/>
    </row>
    <row r="1196" spans="1:13" s="34" customFormat="1">
      <c r="A1196" s="73"/>
      <c r="B1196" s="3"/>
      <c r="C1196" s="3"/>
      <c r="D1196" s="3"/>
      <c r="E1196" s="3"/>
      <c r="F1196" s="3"/>
      <c r="G1196" s="3"/>
      <c r="H1196" s="3"/>
      <c r="I1196" s="3"/>
      <c r="J1196" s="3"/>
      <c r="K1196" s="3"/>
      <c r="L1196" s="3"/>
      <c r="M1196" s="3"/>
    </row>
    <row r="1197" spans="1:13" s="34" customFormat="1">
      <c r="A1197" s="73"/>
      <c r="B1197" s="3"/>
      <c r="C1197" s="3"/>
      <c r="D1197" s="3"/>
      <c r="E1197" s="3"/>
      <c r="F1197" s="3"/>
      <c r="G1197" s="3"/>
      <c r="H1197" s="3"/>
      <c r="I1197" s="3"/>
      <c r="J1197" s="3"/>
      <c r="K1197" s="3"/>
      <c r="L1197" s="3"/>
      <c r="M1197" s="3"/>
    </row>
    <row r="1198" spans="1:13" s="34" customFormat="1">
      <c r="A1198" s="73"/>
      <c r="B1198" s="3"/>
      <c r="C1198" s="3"/>
      <c r="D1198" s="3"/>
      <c r="E1198" s="3"/>
      <c r="F1198" s="3"/>
      <c r="G1198" s="3"/>
      <c r="H1198" s="3"/>
      <c r="I1198" s="3"/>
      <c r="J1198" s="3"/>
      <c r="K1198" s="3"/>
      <c r="L1198" s="3"/>
      <c r="M1198" s="3"/>
    </row>
    <row r="1199" spans="1:13" s="34" customFormat="1">
      <c r="A1199" s="73"/>
      <c r="B1199" s="3"/>
      <c r="C1199" s="3"/>
      <c r="D1199" s="3"/>
      <c r="E1199" s="3"/>
      <c r="F1199" s="3"/>
      <c r="G1199" s="3"/>
      <c r="H1199" s="3"/>
      <c r="I1199" s="3"/>
      <c r="J1199" s="3"/>
      <c r="K1199" s="3"/>
      <c r="L1199" s="3"/>
      <c r="M1199" s="3"/>
    </row>
    <row r="1200" spans="1:13" s="34" customFormat="1">
      <c r="A1200" s="73"/>
      <c r="B1200" s="3"/>
      <c r="C1200" s="3"/>
      <c r="D1200" s="3"/>
      <c r="E1200" s="3"/>
      <c r="F1200" s="3"/>
      <c r="G1200" s="3"/>
      <c r="H1200" s="3"/>
      <c r="I1200" s="3"/>
      <c r="J1200" s="3"/>
      <c r="K1200" s="3"/>
      <c r="L1200" s="3"/>
      <c r="M1200" s="3"/>
    </row>
    <row r="1201" spans="1:13" s="34" customFormat="1">
      <c r="A1201" s="73"/>
      <c r="B1201" s="3"/>
      <c r="C1201" s="3"/>
      <c r="D1201" s="3"/>
      <c r="E1201" s="3"/>
      <c r="F1201" s="3"/>
      <c r="G1201" s="3"/>
      <c r="H1201" s="3"/>
      <c r="I1201" s="3"/>
      <c r="J1201" s="3"/>
      <c r="K1201" s="3"/>
      <c r="L1201" s="3"/>
      <c r="M1201" s="3"/>
    </row>
    <row r="1202" spans="1:13" s="34" customFormat="1">
      <c r="A1202" s="73"/>
      <c r="B1202" s="3"/>
      <c r="C1202" s="3"/>
      <c r="D1202" s="3"/>
      <c r="E1202" s="3"/>
      <c r="F1202" s="3"/>
      <c r="G1202" s="3"/>
      <c r="H1202" s="3"/>
      <c r="I1202" s="3"/>
      <c r="J1202" s="3"/>
      <c r="K1202" s="3"/>
      <c r="L1202" s="3"/>
      <c r="M1202" s="3"/>
    </row>
    <row r="1203" spans="1:13" s="34" customFormat="1">
      <c r="A1203" s="73"/>
      <c r="B1203" s="3"/>
      <c r="C1203" s="3"/>
      <c r="D1203" s="3"/>
      <c r="E1203" s="3"/>
      <c r="F1203" s="3"/>
      <c r="G1203" s="3"/>
      <c r="H1203" s="3"/>
      <c r="I1203" s="3"/>
      <c r="J1203" s="3"/>
      <c r="K1203" s="3"/>
      <c r="L1203" s="3"/>
      <c r="M1203" s="3"/>
    </row>
    <row r="1204" spans="1:13" s="34" customFormat="1">
      <c r="A1204" s="73"/>
      <c r="B1204" s="3"/>
      <c r="C1204" s="3"/>
      <c r="D1204" s="3"/>
      <c r="E1204" s="3"/>
      <c r="F1204" s="3"/>
      <c r="G1204" s="3"/>
      <c r="H1204" s="3"/>
      <c r="I1204" s="3"/>
      <c r="J1204" s="3"/>
      <c r="K1204" s="3"/>
      <c r="L1204" s="3"/>
      <c r="M1204" s="3"/>
    </row>
    <row r="1205" spans="1:13" s="34" customFormat="1">
      <c r="A1205" s="73"/>
      <c r="B1205" s="3"/>
      <c r="C1205" s="3"/>
      <c r="D1205" s="3"/>
      <c r="E1205" s="3"/>
      <c r="F1205" s="3"/>
      <c r="G1205" s="3"/>
      <c r="H1205" s="3"/>
      <c r="I1205" s="3"/>
      <c r="J1205" s="3"/>
      <c r="K1205" s="3"/>
      <c r="L1205" s="3"/>
      <c r="M1205" s="3"/>
    </row>
    <row r="1206" spans="1:13" s="34" customFormat="1">
      <c r="A1206" s="73"/>
      <c r="B1206" s="3"/>
      <c r="C1206" s="3"/>
      <c r="D1206" s="3"/>
      <c r="E1206" s="3"/>
      <c r="F1206" s="3"/>
      <c r="G1206" s="3"/>
      <c r="H1206" s="3"/>
      <c r="I1206" s="3"/>
      <c r="J1206" s="3"/>
      <c r="K1206" s="3"/>
      <c r="L1206" s="3"/>
      <c r="M1206" s="3"/>
    </row>
    <row r="1207" spans="1:13" s="34" customFormat="1">
      <c r="A1207" s="73"/>
      <c r="B1207" s="3"/>
      <c r="C1207" s="3"/>
      <c r="D1207" s="3"/>
      <c r="E1207" s="3"/>
      <c r="F1207" s="3"/>
      <c r="G1207" s="3"/>
      <c r="H1207" s="3"/>
      <c r="I1207" s="3"/>
      <c r="J1207" s="3"/>
      <c r="K1207" s="3"/>
      <c r="L1207" s="3"/>
      <c r="M1207" s="3"/>
    </row>
    <row r="1208" spans="1:13" s="34" customFormat="1">
      <c r="A1208" s="73"/>
      <c r="B1208" s="3"/>
      <c r="C1208" s="3"/>
      <c r="D1208" s="3"/>
      <c r="E1208" s="3"/>
      <c r="F1208" s="3"/>
      <c r="G1208" s="3"/>
      <c r="H1208" s="3"/>
      <c r="I1208" s="3"/>
      <c r="J1208" s="3"/>
      <c r="K1208" s="3"/>
      <c r="L1208" s="3"/>
      <c r="M1208" s="3"/>
    </row>
    <row r="1209" spans="1:13" s="34" customFormat="1">
      <c r="A1209" s="73"/>
      <c r="B1209" s="3"/>
      <c r="C1209" s="3"/>
      <c r="D1209" s="3"/>
      <c r="E1209" s="3"/>
      <c r="F1209" s="3"/>
      <c r="G1209" s="3"/>
      <c r="H1209" s="3"/>
      <c r="I1209" s="3"/>
      <c r="J1209" s="3"/>
      <c r="K1209" s="3"/>
      <c r="L1209" s="3"/>
      <c r="M1209" s="3"/>
    </row>
    <row r="1210" spans="1:13" s="34" customFormat="1">
      <c r="A1210" s="73"/>
      <c r="B1210" s="3"/>
      <c r="C1210" s="3"/>
      <c r="D1210" s="3"/>
      <c r="E1210" s="3"/>
      <c r="F1210" s="3"/>
      <c r="G1210" s="3"/>
      <c r="H1210" s="3"/>
      <c r="I1210" s="3"/>
      <c r="J1210" s="3"/>
      <c r="K1210" s="3"/>
      <c r="L1210" s="3"/>
      <c r="M1210" s="3"/>
    </row>
    <row r="1211" spans="1:13" s="34" customFormat="1">
      <c r="A1211" s="73"/>
      <c r="B1211" s="3"/>
      <c r="C1211" s="3"/>
      <c r="D1211" s="3"/>
      <c r="E1211" s="3"/>
      <c r="F1211" s="3"/>
      <c r="G1211" s="3"/>
      <c r="H1211" s="3"/>
      <c r="I1211" s="3"/>
      <c r="J1211" s="3"/>
      <c r="K1211" s="3"/>
      <c r="L1211" s="3"/>
      <c r="M1211" s="3"/>
    </row>
    <row r="1212" spans="1:13" s="34" customFormat="1">
      <c r="A1212" s="73"/>
      <c r="B1212" s="3"/>
      <c r="C1212" s="3"/>
      <c r="D1212" s="3"/>
      <c r="E1212" s="3"/>
      <c r="F1212" s="3"/>
      <c r="G1212" s="3"/>
      <c r="H1212" s="3"/>
      <c r="I1212" s="3"/>
      <c r="J1212" s="3"/>
      <c r="K1212" s="3"/>
      <c r="L1212" s="3"/>
      <c r="M1212" s="3"/>
    </row>
    <row r="1213" spans="1:13" s="34" customFormat="1">
      <c r="A1213" s="73"/>
      <c r="B1213" s="3"/>
      <c r="C1213" s="3"/>
      <c r="D1213" s="3"/>
      <c r="E1213" s="3"/>
      <c r="F1213" s="3"/>
      <c r="G1213" s="3"/>
      <c r="H1213" s="3"/>
      <c r="I1213" s="3"/>
      <c r="J1213" s="3"/>
      <c r="K1213" s="3"/>
      <c r="L1213" s="3"/>
      <c r="M1213" s="3"/>
    </row>
    <row r="1214" spans="1:13" s="34" customFormat="1">
      <c r="A1214" s="73"/>
      <c r="B1214" s="3"/>
      <c r="C1214" s="3"/>
      <c r="D1214" s="3"/>
      <c r="E1214" s="3"/>
      <c r="F1214" s="3"/>
      <c r="G1214" s="3"/>
      <c r="H1214" s="3"/>
      <c r="I1214" s="3"/>
      <c r="J1214" s="3"/>
      <c r="K1214" s="3"/>
      <c r="L1214" s="3"/>
      <c r="M1214" s="3"/>
    </row>
    <row r="1215" spans="1:13" s="34" customFormat="1">
      <c r="A1215" s="73"/>
      <c r="B1215" s="3"/>
      <c r="C1215" s="3"/>
      <c r="D1215" s="3"/>
      <c r="E1215" s="3"/>
      <c r="F1215" s="3"/>
      <c r="G1215" s="3"/>
      <c r="H1215" s="3"/>
      <c r="I1215" s="3"/>
      <c r="J1215" s="3"/>
      <c r="K1215" s="3"/>
      <c r="L1215" s="3"/>
      <c r="M1215" s="3"/>
    </row>
    <row r="1216" spans="1:13" s="34" customFormat="1">
      <c r="A1216" s="73"/>
      <c r="B1216" s="3"/>
      <c r="C1216" s="3"/>
      <c r="D1216" s="3"/>
      <c r="E1216" s="3"/>
      <c r="F1216" s="3"/>
      <c r="G1216" s="3"/>
      <c r="H1216" s="3"/>
      <c r="I1216" s="3"/>
      <c r="J1216" s="3"/>
      <c r="K1216" s="3"/>
      <c r="L1216" s="3"/>
      <c r="M1216" s="3"/>
    </row>
    <row r="1217" spans="1:13" s="34" customFormat="1">
      <c r="A1217" s="73"/>
      <c r="B1217" s="3"/>
      <c r="C1217" s="3"/>
      <c r="D1217" s="3"/>
      <c r="E1217" s="3"/>
      <c r="F1217" s="3"/>
      <c r="G1217" s="3"/>
      <c r="H1217" s="3"/>
      <c r="I1217" s="3"/>
      <c r="J1217" s="3"/>
      <c r="K1217" s="3"/>
      <c r="L1217" s="3"/>
      <c r="M1217" s="3"/>
    </row>
    <row r="1218" spans="1:13" s="34" customFormat="1">
      <c r="A1218" s="73"/>
      <c r="B1218" s="3"/>
      <c r="C1218" s="3"/>
      <c r="D1218" s="3"/>
      <c r="E1218" s="3"/>
      <c r="F1218" s="3"/>
      <c r="G1218" s="3"/>
      <c r="H1218" s="3"/>
      <c r="I1218" s="3"/>
      <c r="J1218" s="3"/>
      <c r="K1218" s="3"/>
      <c r="L1218" s="3"/>
      <c r="M1218" s="3"/>
    </row>
    <row r="1219" spans="1:13" s="34" customFormat="1">
      <c r="A1219" s="73"/>
      <c r="B1219" s="3"/>
      <c r="C1219" s="3"/>
      <c r="D1219" s="3"/>
      <c r="E1219" s="3"/>
      <c r="F1219" s="3"/>
      <c r="G1219" s="3"/>
      <c r="H1219" s="3"/>
      <c r="I1219" s="3"/>
      <c r="J1219" s="3"/>
      <c r="K1219" s="3"/>
      <c r="L1219" s="3"/>
      <c r="M1219" s="3"/>
    </row>
    <row r="1220" spans="1:13" s="34" customFormat="1">
      <c r="A1220" s="73"/>
      <c r="B1220" s="3"/>
      <c r="C1220" s="3"/>
      <c r="D1220" s="3"/>
      <c r="E1220" s="3"/>
      <c r="F1220" s="3"/>
      <c r="G1220" s="3"/>
      <c r="H1220" s="3"/>
      <c r="I1220" s="3"/>
      <c r="J1220" s="3"/>
      <c r="K1220" s="3"/>
      <c r="L1220" s="3"/>
      <c r="M1220" s="3"/>
    </row>
    <row r="1221" spans="1:13" s="34" customFormat="1">
      <c r="A1221" s="73"/>
      <c r="B1221" s="3"/>
      <c r="C1221" s="3"/>
      <c r="D1221" s="3"/>
      <c r="E1221" s="3"/>
      <c r="F1221" s="3"/>
      <c r="G1221" s="3"/>
      <c r="H1221" s="3"/>
      <c r="I1221" s="3"/>
      <c r="J1221" s="3"/>
      <c r="K1221" s="3"/>
      <c r="L1221" s="3"/>
      <c r="M1221" s="3"/>
    </row>
    <row r="1222" spans="1:13" s="34" customFormat="1">
      <c r="A1222" s="73"/>
      <c r="B1222" s="3"/>
      <c r="C1222" s="3"/>
      <c r="D1222" s="3"/>
      <c r="E1222" s="3"/>
      <c r="F1222" s="3"/>
      <c r="G1222" s="3"/>
      <c r="H1222" s="3"/>
      <c r="I1222" s="3"/>
      <c r="J1222" s="3"/>
      <c r="K1222" s="3"/>
      <c r="L1222" s="3"/>
      <c r="M1222" s="3"/>
    </row>
    <row r="1223" spans="1:13" s="34" customFormat="1">
      <c r="A1223" s="73"/>
      <c r="B1223" s="3"/>
      <c r="C1223" s="3"/>
      <c r="D1223" s="3"/>
      <c r="E1223" s="3"/>
      <c r="F1223" s="3"/>
      <c r="G1223" s="3"/>
      <c r="H1223" s="3"/>
      <c r="I1223" s="3"/>
      <c r="J1223" s="3"/>
      <c r="K1223" s="3"/>
      <c r="L1223" s="3"/>
      <c r="M1223" s="3"/>
    </row>
    <row r="1224" spans="1:13" s="34" customFormat="1">
      <c r="A1224" s="73"/>
      <c r="B1224" s="3"/>
      <c r="C1224" s="3"/>
      <c r="D1224" s="3"/>
      <c r="E1224" s="3"/>
      <c r="F1224" s="3"/>
      <c r="G1224" s="3"/>
      <c r="H1224" s="3"/>
      <c r="I1224" s="3"/>
      <c r="J1224" s="3"/>
      <c r="K1224" s="3"/>
      <c r="L1224" s="3"/>
      <c r="M1224" s="3"/>
    </row>
    <row r="1225" spans="1:13" s="34" customFormat="1">
      <c r="A1225" s="73"/>
      <c r="B1225" s="3"/>
      <c r="C1225" s="3"/>
      <c r="D1225" s="3"/>
      <c r="E1225" s="3"/>
      <c r="F1225" s="3"/>
      <c r="G1225" s="3"/>
      <c r="H1225" s="3"/>
      <c r="I1225" s="3"/>
      <c r="J1225" s="3"/>
      <c r="K1225" s="3"/>
      <c r="L1225" s="3"/>
      <c r="M1225" s="3"/>
    </row>
    <row r="1226" spans="1:13" s="34" customFormat="1">
      <c r="A1226" s="73"/>
      <c r="B1226" s="3"/>
      <c r="C1226" s="3"/>
      <c r="D1226" s="3"/>
      <c r="E1226" s="3"/>
      <c r="F1226" s="3"/>
      <c r="G1226" s="3"/>
      <c r="H1226" s="3"/>
      <c r="I1226" s="3"/>
      <c r="J1226" s="3"/>
      <c r="K1226" s="3"/>
      <c r="L1226" s="3"/>
      <c r="M1226" s="3"/>
    </row>
    <row r="1227" spans="1:13" s="34" customFormat="1">
      <c r="A1227" s="73"/>
      <c r="B1227" s="3"/>
      <c r="C1227" s="3"/>
      <c r="D1227" s="3"/>
      <c r="E1227" s="3"/>
      <c r="F1227" s="3"/>
      <c r="G1227" s="3"/>
      <c r="H1227" s="3"/>
      <c r="I1227" s="3"/>
      <c r="J1227" s="3"/>
      <c r="K1227" s="3"/>
      <c r="L1227" s="3"/>
      <c r="M1227" s="3"/>
    </row>
    <row r="1228" spans="1:13" s="34" customFormat="1">
      <c r="A1228" s="73"/>
      <c r="B1228" s="3"/>
      <c r="C1228" s="3"/>
      <c r="D1228" s="3"/>
      <c r="E1228" s="3"/>
      <c r="F1228" s="3"/>
      <c r="G1228" s="3"/>
      <c r="H1228" s="3"/>
      <c r="I1228" s="3"/>
      <c r="J1228" s="3"/>
      <c r="K1228" s="3"/>
      <c r="L1228" s="3"/>
      <c r="M1228" s="3"/>
    </row>
    <row r="1229" spans="1:13" s="34" customFormat="1">
      <c r="A1229" s="73"/>
      <c r="B1229" s="3"/>
      <c r="C1229" s="3"/>
      <c r="D1229" s="3"/>
      <c r="E1229" s="3"/>
      <c r="F1229" s="3"/>
      <c r="G1229" s="3"/>
      <c r="H1229" s="3"/>
      <c r="I1229" s="3"/>
      <c r="J1229" s="3"/>
      <c r="K1229" s="3"/>
      <c r="L1229" s="3"/>
      <c r="M1229" s="3"/>
    </row>
    <row r="1230" spans="1:13" s="34" customFormat="1">
      <c r="A1230" s="73"/>
      <c r="B1230" s="3"/>
      <c r="C1230" s="3"/>
      <c r="D1230" s="3"/>
      <c r="E1230" s="3"/>
      <c r="F1230" s="3"/>
      <c r="G1230" s="3"/>
      <c r="H1230" s="3"/>
      <c r="I1230" s="3"/>
      <c r="J1230" s="3"/>
      <c r="K1230" s="3"/>
      <c r="L1230" s="3"/>
      <c r="M1230" s="3"/>
    </row>
    <row r="1231" spans="1:13" s="34" customFormat="1">
      <c r="A1231" s="73"/>
      <c r="B1231" s="3"/>
      <c r="C1231" s="3"/>
      <c r="D1231" s="3"/>
      <c r="E1231" s="3"/>
      <c r="F1231" s="3"/>
      <c r="G1231" s="3"/>
      <c r="H1231" s="3"/>
      <c r="I1231" s="3"/>
      <c r="J1231" s="3"/>
      <c r="K1231" s="3"/>
      <c r="L1231" s="3"/>
      <c r="M1231" s="3"/>
    </row>
    <row r="1232" spans="1:13" s="34" customFormat="1">
      <c r="A1232" s="73"/>
      <c r="B1232" s="3"/>
      <c r="C1232" s="3"/>
      <c r="D1232" s="3"/>
      <c r="E1232" s="3"/>
      <c r="F1232" s="3"/>
      <c r="G1232" s="3"/>
      <c r="H1232" s="3"/>
      <c r="I1232" s="3"/>
      <c r="J1232" s="3"/>
      <c r="K1232" s="3"/>
      <c r="L1232" s="3"/>
      <c r="M1232" s="3"/>
    </row>
    <row r="1233" spans="1:13" s="34" customFormat="1">
      <c r="A1233" s="73"/>
      <c r="B1233" s="3"/>
      <c r="C1233" s="3"/>
      <c r="D1233" s="3"/>
      <c r="E1233" s="3"/>
      <c r="F1233" s="3"/>
      <c r="G1233" s="3"/>
      <c r="H1233" s="3"/>
      <c r="I1233" s="3"/>
      <c r="J1233" s="3"/>
      <c r="K1233" s="3"/>
      <c r="L1233" s="3"/>
      <c r="M1233" s="3"/>
    </row>
    <row r="1234" spans="1:13" s="34" customFormat="1">
      <c r="A1234" s="73"/>
      <c r="B1234" s="3"/>
      <c r="C1234" s="3"/>
      <c r="D1234" s="3"/>
      <c r="E1234" s="3"/>
      <c r="F1234" s="3"/>
      <c r="G1234" s="3"/>
      <c r="H1234" s="3"/>
      <c r="I1234" s="3"/>
      <c r="J1234" s="3"/>
      <c r="K1234" s="3"/>
      <c r="L1234" s="3"/>
      <c r="M1234" s="3"/>
    </row>
    <row r="1235" spans="1:13" s="34" customFormat="1">
      <c r="A1235" s="73"/>
      <c r="B1235" s="3"/>
      <c r="C1235" s="3"/>
      <c r="D1235" s="3"/>
      <c r="E1235" s="3"/>
      <c r="F1235" s="3"/>
      <c r="G1235" s="3"/>
      <c r="H1235" s="3"/>
      <c r="I1235" s="3"/>
      <c r="J1235" s="3"/>
      <c r="K1235" s="3"/>
      <c r="L1235" s="3"/>
      <c r="M1235" s="3"/>
    </row>
    <row r="1236" spans="1:13" s="34" customFormat="1">
      <c r="A1236" s="73"/>
      <c r="B1236" s="3"/>
      <c r="C1236" s="3"/>
      <c r="D1236" s="3"/>
      <c r="E1236" s="3"/>
      <c r="F1236" s="3"/>
      <c r="G1236" s="3"/>
      <c r="H1236" s="3"/>
      <c r="I1236" s="3"/>
      <c r="J1236" s="3"/>
      <c r="K1236" s="3"/>
      <c r="L1236" s="3"/>
      <c r="M1236" s="3"/>
    </row>
    <row r="1237" spans="1:13" s="34" customFormat="1">
      <c r="A1237" s="73"/>
      <c r="B1237" s="3"/>
      <c r="C1237" s="3"/>
      <c r="D1237" s="3"/>
      <c r="E1237" s="3"/>
      <c r="F1237" s="3"/>
      <c r="G1237" s="3"/>
      <c r="H1237" s="3"/>
      <c r="I1237" s="3"/>
      <c r="J1237" s="3"/>
      <c r="K1237" s="3"/>
      <c r="L1237" s="3"/>
      <c r="M1237" s="3"/>
    </row>
    <row r="1238" spans="1:13" s="34" customFormat="1">
      <c r="A1238" s="73"/>
      <c r="B1238" s="3"/>
      <c r="C1238" s="3"/>
      <c r="D1238" s="3"/>
      <c r="E1238" s="3"/>
      <c r="F1238" s="3"/>
      <c r="G1238" s="3"/>
      <c r="H1238" s="3"/>
      <c r="I1238" s="3"/>
      <c r="J1238" s="3"/>
      <c r="K1238" s="3"/>
      <c r="L1238" s="3"/>
      <c r="M1238" s="3"/>
    </row>
    <row r="1239" spans="1:13" s="34" customFormat="1">
      <c r="A1239" s="73"/>
      <c r="B1239" s="3"/>
      <c r="C1239" s="3"/>
      <c r="D1239" s="3"/>
      <c r="E1239" s="3"/>
      <c r="F1239" s="3"/>
      <c r="G1239" s="3"/>
      <c r="H1239" s="3"/>
      <c r="I1239" s="3"/>
      <c r="J1239" s="3"/>
      <c r="K1239" s="3"/>
      <c r="L1239" s="3"/>
      <c r="M1239" s="3"/>
    </row>
    <row r="1240" spans="1:13" s="34" customFormat="1">
      <c r="A1240" s="73"/>
      <c r="B1240" s="3"/>
      <c r="C1240" s="3"/>
      <c r="D1240" s="3"/>
      <c r="E1240" s="3"/>
      <c r="F1240" s="3"/>
      <c r="G1240" s="3"/>
      <c r="H1240" s="3"/>
      <c r="I1240" s="3"/>
      <c r="J1240" s="3"/>
      <c r="K1240" s="3"/>
      <c r="L1240" s="3"/>
      <c r="M1240" s="3"/>
    </row>
    <row r="1241" spans="1:13" s="34" customFormat="1">
      <c r="A1241" s="73"/>
      <c r="B1241" s="3"/>
      <c r="C1241" s="3"/>
      <c r="D1241" s="3"/>
      <c r="E1241" s="3"/>
      <c r="F1241" s="3"/>
      <c r="G1241" s="3"/>
      <c r="H1241" s="3"/>
      <c r="I1241" s="3"/>
      <c r="J1241" s="3"/>
      <c r="K1241" s="3"/>
      <c r="L1241" s="3"/>
      <c r="M1241" s="3"/>
    </row>
    <row r="1242" spans="1:13" s="34" customFormat="1">
      <c r="A1242" s="73"/>
      <c r="B1242" s="3"/>
      <c r="C1242" s="3"/>
      <c r="D1242" s="3"/>
      <c r="E1242" s="3"/>
      <c r="F1242" s="3"/>
      <c r="G1242" s="3"/>
      <c r="H1242" s="3"/>
      <c r="I1242" s="3"/>
      <c r="J1242" s="3"/>
      <c r="K1242" s="3"/>
      <c r="L1242" s="3"/>
      <c r="M1242" s="3"/>
    </row>
    <row r="1243" spans="1:13" s="34" customFormat="1">
      <c r="A1243" s="73"/>
      <c r="B1243" s="3"/>
      <c r="C1243" s="3"/>
      <c r="D1243" s="3"/>
      <c r="E1243" s="3"/>
      <c r="F1243" s="3"/>
      <c r="G1243" s="3"/>
      <c r="H1243" s="3"/>
      <c r="I1243" s="3"/>
      <c r="J1243" s="3"/>
      <c r="K1243" s="3"/>
      <c r="L1243" s="3"/>
      <c r="M1243" s="3"/>
    </row>
    <row r="1244" spans="1:13" s="34" customFormat="1">
      <c r="A1244" s="73"/>
      <c r="B1244" s="3"/>
      <c r="C1244" s="3"/>
      <c r="D1244" s="3"/>
      <c r="E1244" s="3"/>
      <c r="F1244" s="3"/>
      <c r="G1244" s="3"/>
      <c r="H1244" s="3"/>
      <c r="I1244" s="3"/>
      <c r="J1244" s="3"/>
      <c r="K1244" s="3"/>
      <c r="L1244" s="3"/>
      <c r="M1244" s="3"/>
    </row>
    <row r="1245" spans="1:13" s="34" customFormat="1">
      <c r="A1245" s="73"/>
      <c r="B1245" s="3"/>
      <c r="C1245" s="3"/>
      <c r="D1245" s="3"/>
      <c r="E1245" s="3"/>
      <c r="F1245" s="3"/>
      <c r="G1245" s="3"/>
      <c r="H1245" s="3"/>
      <c r="I1245" s="3"/>
      <c r="J1245" s="3"/>
      <c r="K1245" s="3"/>
      <c r="L1245" s="3"/>
      <c r="M1245" s="3"/>
    </row>
    <row r="1246" spans="1:13" s="34" customFormat="1">
      <c r="A1246" s="73"/>
      <c r="B1246" s="3"/>
      <c r="C1246" s="3"/>
      <c r="D1246" s="3"/>
      <c r="E1246" s="3"/>
      <c r="F1246" s="3"/>
      <c r="G1246" s="3"/>
      <c r="H1246" s="3"/>
      <c r="I1246" s="3"/>
      <c r="J1246" s="3"/>
      <c r="K1246" s="3"/>
      <c r="L1246" s="3"/>
      <c r="M1246" s="3"/>
    </row>
    <row r="1247" spans="1:13" s="34" customFormat="1">
      <c r="A1247" s="73"/>
      <c r="B1247" s="3"/>
      <c r="C1247" s="3"/>
      <c r="D1247" s="3"/>
      <c r="E1247" s="3"/>
      <c r="F1247" s="3"/>
      <c r="G1247" s="3"/>
      <c r="H1247" s="3"/>
      <c r="I1247" s="3"/>
      <c r="J1247" s="3"/>
      <c r="K1247" s="3"/>
      <c r="L1247" s="3"/>
      <c r="M1247" s="3"/>
    </row>
    <row r="1248" spans="1:13" s="34" customFormat="1">
      <c r="A1248" s="73"/>
      <c r="B1248" s="3"/>
      <c r="C1248" s="3"/>
      <c r="D1248" s="3"/>
      <c r="E1248" s="3"/>
      <c r="F1248" s="3"/>
      <c r="G1248" s="3"/>
      <c r="H1248" s="3"/>
      <c r="I1248" s="3"/>
      <c r="J1248" s="3"/>
      <c r="K1248" s="3"/>
      <c r="L1248" s="3"/>
      <c r="M1248" s="3"/>
    </row>
    <row r="1249" spans="1:13" s="34" customFormat="1">
      <c r="A1249" s="73"/>
      <c r="B1249" s="3"/>
      <c r="C1249" s="3"/>
      <c r="D1249" s="3"/>
      <c r="E1249" s="3"/>
      <c r="F1249" s="3"/>
      <c r="G1249" s="3"/>
      <c r="H1249" s="3"/>
      <c r="I1249" s="3"/>
      <c r="J1249" s="3"/>
      <c r="K1249" s="3"/>
      <c r="L1249" s="3"/>
      <c r="M1249" s="3"/>
    </row>
    <row r="1250" spans="1:13" s="34" customFormat="1">
      <c r="A1250" s="73"/>
      <c r="B1250" s="3"/>
      <c r="C1250" s="3"/>
      <c r="D1250" s="3"/>
      <c r="E1250" s="3"/>
      <c r="F1250" s="3"/>
      <c r="G1250" s="3"/>
      <c r="H1250" s="3"/>
      <c r="I1250" s="3"/>
      <c r="J1250" s="3"/>
      <c r="K1250" s="3"/>
      <c r="L1250" s="3"/>
      <c r="M1250" s="3"/>
    </row>
    <row r="1251" spans="1:13" s="34" customFormat="1">
      <c r="A1251" s="73"/>
      <c r="B1251" s="3"/>
      <c r="C1251" s="3"/>
      <c r="D1251" s="3"/>
      <c r="E1251" s="3"/>
      <c r="F1251" s="3"/>
      <c r="G1251" s="3"/>
      <c r="H1251" s="3"/>
      <c r="I1251" s="3"/>
      <c r="J1251" s="3"/>
      <c r="K1251" s="3"/>
      <c r="L1251" s="3"/>
      <c r="M1251" s="3"/>
    </row>
    <row r="1252" spans="1:13" s="34" customFormat="1">
      <c r="A1252" s="73"/>
      <c r="B1252" s="3"/>
      <c r="C1252" s="3"/>
      <c r="D1252" s="3"/>
      <c r="E1252" s="3"/>
      <c r="F1252" s="3"/>
      <c r="G1252" s="3"/>
      <c r="H1252" s="3"/>
      <c r="I1252" s="3"/>
      <c r="J1252" s="3"/>
      <c r="K1252" s="3"/>
      <c r="L1252" s="3"/>
      <c r="M1252" s="3"/>
    </row>
    <row r="1253" spans="1:13" s="34" customFormat="1">
      <c r="A1253" s="73"/>
      <c r="B1253" s="3"/>
      <c r="C1253" s="3"/>
      <c r="D1253" s="3"/>
      <c r="E1253" s="3"/>
      <c r="F1253" s="3"/>
      <c r="G1253" s="3"/>
      <c r="H1253" s="3"/>
      <c r="I1253" s="3"/>
      <c r="J1253" s="3"/>
      <c r="K1253" s="3"/>
      <c r="L1253" s="3"/>
      <c r="M1253" s="3"/>
    </row>
    <row r="1254" spans="1:13" s="34" customFormat="1">
      <c r="A1254" s="73"/>
      <c r="B1254" s="3"/>
      <c r="C1254" s="3"/>
      <c r="D1254" s="3"/>
      <c r="E1254" s="3"/>
      <c r="F1254" s="3"/>
      <c r="G1254" s="3"/>
      <c r="H1254" s="3"/>
      <c r="I1254" s="3"/>
      <c r="J1254" s="3"/>
      <c r="K1254" s="3"/>
      <c r="L1254" s="3"/>
      <c r="M1254" s="3"/>
    </row>
    <row r="1255" spans="1:13" s="34" customFormat="1">
      <c r="A1255" s="73"/>
      <c r="B1255" s="3"/>
      <c r="C1255" s="3"/>
      <c r="D1255" s="3"/>
      <c r="E1255" s="3"/>
      <c r="F1255" s="3"/>
      <c r="G1255" s="3"/>
      <c r="H1255" s="3"/>
      <c r="I1255" s="3"/>
      <c r="J1255" s="3"/>
      <c r="K1255" s="3"/>
      <c r="L1255" s="3"/>
      <c r="M1255" s="3"/>
    </row>
    <row r="1256" spans="1:13" s="34" customFormat="1">
      <c r="A1256" s="73"/>
      <c r="B1256" s="3"/>
      <c r="C1256" s="3"/>
      <c r="D1256" s="3"/>
      <c r="E1256" s="3"/>
      <c r="F1256" s="3"/>
      <c r="G1256" s="3"/>
      <c r="H1256" s="3"/>
      <c r="I1256" s="3"/>
      <c r="J1256" s="3"/>
      <c r="K1256" s="3"/>
      <c r="L1256" s="3"/>
      <c r="M1256" s="3"/>
    </row>
    <row r="1257" spans="1:13" s="34" customFormat="1">
      <c r="A1257" s="73"/>
      <c r="B1257" s="3"/>
      <c r="C1257" s="3"/>
      <c r="D1257" s="3"/>
      <c r="E1257" s="3"/>
      <c r="F1257" s="3"/>
      <c r="G1257" s="3"/>
      <c r="H1257" s="3"/>
      <c r="I1257" s="3"/>
      <c r="J1257" s="3"/>
      <c r="K1257" s="3"/>
      <c r="L1257" s="3"/>
      <c r="M1257" s="3"/>
    </row>
    <row r="1258" spans="1:13" s="34" customFormat="1">
      <c r="A1258" s="73"/>
      <c r="B1258" s="3"/>
      <c r="C1258" s="3"/>
      <c r="D1258" s="3"/>
      <c r="E1258" s="3"/>
      <c r="F1258" s="3"/>
      <c r="G1258" s="3"/>
      <c r="H1258" s="3"/>
      <c r="I1258" s="3"/>
      <c r="J1258" s="3"/>
      <c r="K1258" s="3"/>
      <c r="L1258" s="3"/>
      <c r="M1258" s="3"/>
    </row>
    <row r="1259" spans="1:13" s="34" customFormat="1">
      <c r="A1259" s="73"/>
      <c r="B1259" s="3"/>
      <c r="C1259" s="3"/>
      <c r="D1259" s="3"/>
      <c r="E1259" s="3"/>
      <c r="F1259" s="3"/>
      <c r="G1259" s="3"/>
      <c r="H1259" s="3"/>
      <c r="I1259" s="3"/>
      <c r="J1259" s="3"/>
      <c r="K1259" s="3"/>
      <c r="L1259" s="3"/>
      <c r="M1259" s="3"/>
    </row>
    <row r="1260" spans="1:13" s="34" customFormat="1">
      <c r="A1260" s="73"/>
      <c r="B1260" s="3"/>
      <c r="C1260" s="3"/>
      <c r="D1260" s="3"/>
      <c r="E1260" s="3"/>
      <c r="F1260" s="3"/>
      <c r="G1260" s="3"/>
      <c r="H1260" s="3"/>
      <c r="I1260" s="3"/>
      <c r="J1260" s="3"/>
      <c r="K1260" s="3"/>
      <c r="L1260" s="3"/>
      <c r="M1260" s="3"/>
    </row>
    <row r="1261" spans="1:13" s="34" customFormat="1">
      <c r="A1261" s="73"/>
      <c r="B1261" s="3"/>
      <c r="C1261" s="3"/>
      <c r="D1261" s="3"/>
      <c r="E1261" s="3"/>
      <c r="F1261" s="3"/>
      <c r="G1261" s="3"/>
      <c r="H1261" s="3"/>
      <c r="I1261" s="3"/>
      <c r="J1261" s="3"/>
      <c r="K1261" s="3"/>
      <c r="L1261" s="3"/>
      <c r="M1261" s="3"/>
    </row>
    <row r="1262" spans="1:13" s="34" customFormat="1">
      <c r="A1262" s="73"/>
      <c r="B1262" s="3"/>
      <c r="C1262" s="3"/>
      <c r="D1262" s="3"/>
      <c r="E1262" s="3"/>
      <c r="F1262" s="3"/>
      <c r="G1262" s="3"/>
      <c r="H1262" s="3"/>
      <c r="I1262" s="3"/>
      <c r="J1262" s="3"/>
      <c r="K1262" s="3"/>
      <c r="L1262" s="3"/>
      <c r="M1262" s="3"/>
    </row>
    <row r="1263" spans="1:13" s="34" customFormat="1">
      <c r="A1263" s="73"/>
      <c r="B1263" s="3"/>
      <c r="C1263" s="3"/>
      <c r="D1263" s="3"/>
      <c r="E1263" s="3"/>
      <c r="F1263" s="3"/>
      <c r="G1263" s="3"/>
      <c r="H1263" s="3"/>
      <c r="I1263" s="3"/>
      <c r="J1263" s="3"/>
      <c r="K1263" s="3"/>
      <c r="L1263" s="3"/>
      <c r="M1263" s="3"/>
    </row>
    <row r="1264" spans="1:13" s="34" customFormat="1">
      <c r="A1264" s="73"/>
      <c r="B1264" s="3"/>
      <c r="C1264" s="3"/>
      <c r="D1264" s="3"/>
      <c r="E1264" s="3"/>
      <c r="F1264" s="3"/>
      <c r="G1264" s="3"/>
      <c r="H1264" s="3"/>
      <c r="I1264" s="3"/>
      <c r="J1264" s="3"/>
      <c r="K1264" s="3"/>
      <c r="L1264" s="3"/>
      <c r="M1264" s="3"/>
    </row>
    <row r="1265" spans="1:13" s="34" customFormat="1">
      <c r="A1265" s="73"/>
      <c r="B1265" s="3"/>
      <c r="C1265" s="3"/>
      <c r="D1265" s="3"/>
      <c r="E1265" s="3"/>
      <c r="F1265" s="3"/>
      <c r="G1265" s="3"/>
      <c r="H1265" s="3"/>
      <c r="I1265" s="3"/>
      <c r="J1265" s="3"/>
      <c r="K1265" s="3"/>
      <c r="L1265" s="3"/>
      <c r="M1265" s="3"/>
    </row>
    <row r="1266" spans="1:13" s="34" customFormat="1">
      <c r="A1266" s="73"/>
      <c r="B1266" s="3"/>
      <c r="C1266" s="3"/>
      <c r="D1266" s="3"/>
      <c r="E1266" s="3"/>
      <c r="F1266" s="3"/>
      <c r="G1266" s="3"/>
      <c r="H1266" s="3"/>
      <c r="I1266" s="3"/>
      <c r="J1266" s="3"/>
      <c r="K1266" s="3"/>
      <c r="L1266" s="3"/>
      <c r="M1266" s="3"/>
    </row>
    <row r="1267" spans="1:13" s="34" customFormat="1">
      <c r="A1267" s="73"/>
      <c r="B1267" s="3"/>
      <c r="C1267" s="3"/>
      <c r="D1267" s="3"/>
      <c r="E1267" s="3"/>
      <c r="F1267" s="3"/>
      <c r="G1267" s="3"/>
      <c r="H1267" s="3"/>
      <c r="I1267" s="3"/>
      <c r="J1267" s="3"/>
      <c r="K1267" s="3"/>
      <c r="L1267" s="3"/>
      <c r="M1267" s="3"/>
    </row>
    <row r="1268" spans="1:13" s="34" customFormat="1">
      <c r="A1268" s="73"/>
      <c r="B1268" s="3"/>
      <c r="C1268" s="3"/>
      <c r="D1268" s="3"/>
      <c r="E1268" s="3"/>
      <c r="F1268" s="3"/>
      <c r="G1268" s="3"/>
      <c r="H1268" s="3"/>
      <c r="I1268" s="3"/>
      <c r="J1268" s="3"/>
      <c r="K1268" s="3"/>
      <c r="L1268" s="3"/>
      <c r="M1268" s="3"/>
    </row>
    <row r="1269" spans="1:13" s="34" customFormat="1">
      <c r="A1269" s="73"/>
      <c r="B1269" s="3"/>
      <c r="C1269" s="3"/>
      <c r="D1269" s="3"/>
      <c r="E1269" s="3"/>
      <c r="F1269" s="3"/>
      <c r="G1269" s="3"/>
      <c r="H1269" s="3"/>
      <c r="I1269" s="3"/>
      <c r="J1269" s="3"/>
      <c r="K1269" s="3"/>
      <c r="L1269" s="3"/>
      <c r="M1269" s="3"/>
    </row>
    <row r="1270" spans="1:13" s="34" customFormat="1">
      <c r="A1270" s="73"/>
      <c r="B1270" s="3"/>
      <c r="C1270" s="3"/>
      <c r="D1270" s="3"/>
      <c r="E1270" s="3"/>
      <c r="F1270" s="3"/>
      <c r="G1270" s="3"/>
      <c r="H1270" s="3"/>
      <c r="I1270" s="3"/>
      <c r="J1270" s="3"/>
      <c r="K1270" s="3"/>
      <c r="L1270" s="3"/>
      <c r="M1270" s="3"/>
    </row>
    <row r="1271" spans="1:13" s="34" customFormat="1">
      <c r="A1271" s="73"/>
      <c r="B1271" s="3"/>
      <c r="C1271" s="3"/>
      <c r="D1271" s="3"/>
      <c r="E1271" s="3"/>
      <c r="F1271" s="3"/>
      <c r="G1271" s="3"/>
      <c r="H1271" s="3"/>
      <c r="I1271" s="3"/>
      <c r="J1271" s="3"/>
      <c r="K1271" s="3"/>
      <c r="L1271" s="3"/>
      <c r="M1271" s="3"/>
    </row>
    <row r="1272" spans="1:13" s="34" customFormat="1">
      <c r="A1272" s="73"/>
      <c r="B1272" s="3"/>
      <c r="C1272" s="3"/>
      <c r="D1272" s="3"/>
      <c r="E1272" s="3"/>
      <c r="F1272" s="3"/>
      <c r="G1272" s="3"/>
      <c r="H1272" s="3"/>
      <c r="I1272" s="3"/>
      <c r="J1272" s="3"/>
      <c r="K1272" s="3"/>
      <c r="L1272" s="3"/>
      <c r="M1272" s="3"/>
    </row>
    <row r="1273" spans="1:13" s="34" customFormat="1">
      <c r="A1273" s="73"/>
      <c r="B1273" s="3"/>
      <c r="C1273" s="3"/>
      <c r="D1273" s="3"/>
      <c r="E1273" s="3"/>
      <c r="F1273" s="3"/>
      <c r="G1273" s="3"/>
      <c r="H1273" s="3"/>
      <c r="I1273" s="3"/>
      <c r="J1273" s="3"/>
      <c r="K1273" s="3"/>
      <c r="L1273" s="3"/>
      <c r="M1273" s="3"/>
    </row>
    <row r="1274" spans="1:13" s="34" customFormat="1">
      <c r="A1274" s="73"/>
      <c r="B1274" s="3"/>
      <c r="C1274" s="3"/>
      <c r="D1274" s="3"/>
      <c r="E1274" s="3"/>
      <c r="F1274" s="3"/>
      <c r="G1274" s="3"/>
      <c r="H1274" s="3"/>
      <c r="I1274" s="3"/>
      <c r="J1274" s="3"/>
      <c r="K1274" s="3"/>
      <c r="L1274" s="3"/>
      <c r="M1274" s="3"/>
    </row>
    <row r="1275" spans="1:13" s="34" customFormat="1">
      <c r="A1275" s="73"/>
      <c r="B1275" s="3"/>
      <c r="C1275" s="3"/>
      <c r="D1275" s="3"/>
      <c r="E1275" s="3"/>
      <c r="F1275" s="3"/>
      <c r="G1275" s="3"/>
      <c r="H1275" s="3"/>
      <c r="I1275" s="3"/>
      <c r="J1275" s="3"/>
      <c r="K1275" s="3"/>
      <c r="L1275" s="3"/>
      <c r="M1275" s="3"/>
    </row>
    <row r="1276" spans="1:13" s="34" customFormat="1">
      <c r="A1276" s="73"/>
      <c r="B1276" s="3"/>
      <c r="C1276" s="3"/>
      <c r="D1276" s="3"/>
      <c r="E1276" s="3"/>
      <c r="F1276" s="3"/>
      <c r="G1276" s="3"/>
      <c r="H1276" s="3"/>
      <c r="I1276" s="3"/>
      <c r="J1276" s="3"/>
      <c r="K1276" s="3"/>
      <c r="L1276" s="3"/>
      <c r="M1276" s="3"/>
    </row>
    <row r="1277" spans="1:13" s="34" customFormat="1">
      <c r="A1277" s="73"/>
      <c r="B1277" s="3"/>
      <c r="C1277" s="3"/>
      <c r="D1277" s="3"/>
      <c r="E1277" s="3"/>
      <c r="F1277" s="3"/>
      <c r="G1277" s="3"/>
      <c r="H1277" s="3"/>
      <c r="I1277" s="3"/>
      <c r="J1277" s="3"/>
      <c r="K1277" s="3"/>
      <c r="L1277" s="3"/>
      <c r="M1277" s="3"/>
    </row>
    <row r="1278" spans="1:13" s="34" customFormat="1">
      <c r="A1278" s="73"/>
      <c r="B1278" s="3"/>
      <c r="C1278" s="3"/>
      <c r="D1278" s="3"/>
      <c r="E1278" s="3"/>
      <c r="F1278" s="3"/>
      <c r="G1278" s="3"/>
      <c r="H1278" s="3"/>
      <c r="I1278" s="3"/>
      <c r="J1278" s="3"/>
      <c r="K1278" s="3"/>
      <c r="L1278" s="3"/>
      <c r="M1278" s="3"/>
    </row>
    <row r="1279" spans="1:13" s="34" customFormat="1">
      <c r="A1279" s="73"/>
      <c r="B1279" s="3"/>
      <c r="C1279" s="3"/>
      <c r="D1279" s="3"/>
      <c r="E1279" s="3"/>
      <c r="F1279" s="3"/>
      <c r="G1279" s="3"/>
      <c r="H1279" s="3"/>
      <c r="I1279" s="3"/>
      <c r="J1279" s="3"/>
      <c r="K1279" s="3"/>
      <c r="L1279" s="3"/>
      <c r="M1279" s="3"/>
    </row>
    <row r="1280" spans="1:13" s="34" customFormat="1">
      <c r="A1280" s="73"/>
      <c r="B1280" s="3"/>
      <c r="C1280" s="3"/>
      <c r="D1280" s="3"/>
      <c r="E1280" s="3"/>
      <c r="F1280" s="3"/>
      <c r="G1280" s="3"/>
      <c r="H1280" s="3"/>
      <c r="I1280" s="3"/>
      <c r="J1280" s="3"/>
      <c r="K1280" s="3"/>
      <c r="L1280" s="3"/>
      <c r="M1280" s="3"/>
    </row>
    <row r="1281" spans="1:13" s="34" customFormat="1">
      <c r="A1281" s="73"/>
      <c r="B1281" s="3"/>
      <c r="C1281" s="3"/>
      <c r="D1281" s="3"/>
      <c r="E1281" s="3"/>
      <c r="F1281" s="3"/>
      <c r="G1281" s="3"/>
      <c r="H1281" s="3"/>
      <c r="I1281" s="3"/>
      <c r="J1281" s="3"/>
      <c r="K1281" s="3"/>
      <c r="L1281" s="3"/>
      <c r="M1281" s="3"/>
    </row>
    <row r="1282" spans="1:13" s="34" customFormat="1">
      <c r="A1282" s="73"/>
      <c r="B1282" s="3"/>
      <c r="C1282" s="3"/>
      <c r="D1282" s="3"/>
      <c r="E1282" s="3"/>
      <c r="F1282" s="3"/>
      <c r="G1282" s="3"/>
      <c r="H1282" s="3"/>
      <c r="I1282" s="3"/>
      <c r="J1282" s="3"/>
      <c r="K1282" s="3"/>
      <c r="L1282" s="3"/>
      <c r="M1282" s="3"/>
    </row>
    <row r="1283" spans="1:13" s="34" customFormat="1">
      <c r="A1283" s="73"/>
      <c r="B1283" s="3"/>
      <c r="C1283" s="3"/>
      <c r="D1283" s="3"/>
      <c r="E1283" s="3"/>
      <c r="F1283" s="3"/>
      <c r="G1283" s="3"/>
      <c r="H1283" s="3"/>
      <c r="I1283" s="3"/>
      <c r="J1283" s="3"/>
      <c r="K1283" s="3"/>
      <c r="L1283" s="3"/>
      <c r="M1283" s="3"/>
    </row>
    <row r="1284" spans="1:13" s="34" customFormat="1">
      <c r="A1284" s="73"/>
      <c r="B1284" s="3"/>
      <c r="C1284" s="3"/>
      <c r="D1284" s="3"/>
      <c r="E1284" s="3"/>
      <c r="F1284" s="3"/>
      <c r="G1284" s="3"/>
      <c r="H1284" s="3"/>
      <c r="I1284" s="3"/>
      <c r="J1284" s="3"/>
      <c r="K1284" s="3"/>
      <c r="L1284" s="3"/>
      <c r="M1284" s="3"/>
    </row>
    <row r="1285" spans="1:13" s="34" customFormat="1">
      <c r="A1285" s="73"/>
      <c r="B1285" s="3"/>
      <c r="C1285" s="3"/>
      <c r="D1285" s="3"/>
      <c r="E1285" s="3"/>
      <c r="F1285" s="3"/>
      <c r="G1285" s="3"/>
      <c r="H1285" s="3"/>
      <c r="I1285" s="3"/>
      <c r="J1285" s="3"/>
      <c r="K1285" s="3"/>
      <c r="L1285" s="3"/>
      <c r="M1285" s="3"/>
    </row>
    <row r="1286" spans="1:13" s="34" customFormat="1">
      <c r="A1286" s="73"/>
      <c r="B1286" s="3"/>
      <c r="C1286" s="3"/>
      <c r="D1286" s="3"/>
      <c r="E1286" s="3"/>
      <c r="F1286" s="3"/>
      <c r="G1286" s="3"/>
      <c r="H1286" s="3"/>
      <c r="I1286" s="3"/>
      <c r="J1286" s="3"/>
      <c r="K1286" s="3"/>
      <c r="L1286" s="3"/>
      <c r="M1286" s="3"/>
    </row>
    <row r="1287" spans="1:13" s="34" customFormat="1">
      <c r="A1287" s="73"/>
      <c r="B1287" s="3"/>
      <c r="C1287" s="3"/>
      <c r="D1287" s="3"/>
      <c r="E1287" s="3"/>
      <c r="F1287" s="3"/>
      <c r="G1287" s="3"/>
      <c r="H1287" s="3"/>
      <c r="I1287" s="3"/>
      <c r="J1287" s="3"/>
      <c r="K1287" s="3"/>
      <c r="L1287" s="3"/>
      <c r="M1287" s="3"/>
    </row>
    <row r="1288" spans="1:13" s="34" customFormat="1">
      <c r="A1288" s="73"/>
      <c r="B1288" s="3"/>
      <c r="C1288" s="3"/>
      <c r="D1288" s="3"/>
      <c r="E1288" s="3"/>
      <c r="F1288" s="3"/>
      <c r="G1288" s="3"/>
      <c r="H1288" s="3"/>
      <c r="I1288" s="3"/>
      <c r="J1288" s="3"/>
      <c r="K1288" s="3"/>
      <c r="L1288" s="3"/>
      <c r="M1288" s="3"/>
    </row>
    <row r="1289" spans="1:13" s="34" customFormat="1">
      <c r="A1289" s="73"/>
      <c r="B1289" s="3"/>
      <c r="C1289" s="3"/>
      <c r="D1289" s="3"/>
      <c r="E1289" s="3"/>
      <c r="F1289" s="3"/>
      <c r="G1289" s="3"/>
      <c r="H1289" s="3"/>
      <c r="I1289" s="3"/>
      <c r="J1289" s="3"/>
      <c r="K1289" s="3"/>
      <c r="L1289" s="3"/>
      <c r="M1289" s="3"/>
    </row>
    <row r="1290" spans="1:13" s="34" customFormat="1">
      <c r="A1290" s="73"/>
      <c r="B1290" s="3"/>
      <c r="C1290" s="3"/>
      <c r="D1290" s="3"/>
      <c r="E1290" s="3"/>
      <c r="F1290" s="3"/>
      <c r="G1290" s="3"/>
      <c r="H1290" s="3"/>
      <c r="I1290" s="3"/>
      <c r="J1290" s="3"/>
      <c r="K1290" s="3"/>
      <c r="L1290" s="3"/>
      <c r="M1290" s="3"/>
    </row>
    <row r="1291" spans="1:13" s="34" customFormat="1">
      <c r="A1291" s="73"/>
      <c r="B1291" s="3"/>
      <c r="C1291" s="3"/>
      <c r="D1291" s="3"/>
      <c r="E1291" s="3"/>
      <c r="F1291" s="3"/>
      <c r="G1291" s="3"/>
      <c r="H1291" s="3"/>
      <c r="I1291" s="3"/>
      <c r="J1291" s="3"/>
      <c r="K1291" s="3"/>
      <c r="L1291" s="3"/>
      <c r="M1291" s="3"/>
    </row>
    <row r="1292" spans="1:13" s="34" customFormat="1">
      <c r="A1292" s="73"/>
      <c r="B1292" s="3"/>
      <c r="C1292" s="3"/>
      <c r="D1292" s="3"/>
      <c r="E1292" s="3"/>
      <c r="F1292" s="3"/>
      <c r="G1292" s="3"/>
      <c r="H1292" s="3"/>
      <c r="I1292" s="3"/>
      <c r="J1292" s="3"/>
      <c r="K1292" s="3"/>
      <c r="L1292" s="3"/>
      <c r="M1292" s="3"/>
    </row>
    <row r="1293" spans="1:13" s="34" customFormat="1">
      <c r="A1293" s="73"/>
      <c r="B1293" s="3"/>
      <c r="C1293" s="3"/>
      <c r="D1293" s="3"/>
      <c r="E1293" s="3"/>
      <c r="F1293" s="3"/>
      <c r="G1293" s="3"/>
      <c r="H1293" s="3"/>
      <c r="I1293" s="3"/>
      <c r="J1293" s="3"/>
      <c r="K1293" s="3"/>
      <c r="L1293" s="3"/>
      <c r="M1293" s="3"/>
    </row>
    <row r="1294" spans="1:13" s="34" customFormat="1">
      <c r="A1294" s="73"/>
      <c r="B1294" s="3"/>
      <c r="C1294" s="3"/>
      <c r="D1294" s="3"/>
      <c r="E1294" s="3"/>
      <c r="F1294" s="3"/>
      <c r="G1294" s="3"/>
      <c r="H1294" s="3"/>
      <c r="I1294" s="3"/>
      <c r="J1294" s="3"/>
      <c r="K1294" s="3"/>
      <c r="L1294" s="3"/>
      <c r="M1294" s="3"/>
    </row>
    <row r="1295" spans="1:13" s="34" customFormat="1">
      <c r="A1295" s="73"/>
      <c r="B1295" s="3"/>
      <c r="C1295" s="3"/>
      <c r="D1295" s="3"/>
      <c r="E1295" s="3"/>
      <c r="F1295" s="3"/>
      <c r="G1295" s="3"/>
      <c r="H1295" s="3"/>
      <c r="I1295" s="3"/>
      <c r="J1295" s="3"/>
      <c r="K1295" s="3"/>
      <c r="L1295" s="3"/>
      <c r="M1295" s="3"/>
    </row>
    <row r="1296" spans="1:13" s="34" customFormat="1">
      <c r="A1296" s="73"/>
      <c r="B1296" s="3"/>
      <c r="C1296" s="3"/>
      <c r="D1296" s="3"/>
      <c r="E1296" s="3"/>
      <c r="F1296" s="3"/>
      <c r="G1296" s="3"/>
      <c r="H1296" s="3"/>
      <c r="I1296" s="3"/>
      <c r="J1296" s="3"/>
      <c r="K1296" s="3"/>
      <c r="L1296" s="3"/>
      <c r="M1296" s="3"/>
    </row>
    <row r="1297" spans="1:13" s="34" customFormat="1">
      <c r="A1297" s="73"/>
      <c r="B1297" s="3"/>
      <c r="C1297" s="3"/>
      <c r="D1297" s="3"/>
      <c r="E1297" s="3"/>
      <c r="F1297" s="3"/>
      <c r="G1297" s="3"/>
      <c r="H1297" s="3"/>
      <c r="I1297" s="3"/>
      <c r="J1297" s="3"/>
      <c r="K1297" s="3"/>
      <c r="L1297" s="3"/>
      <c r="M1297" s="3"/>
    </row>
    <row r="1298" spans="1:13" s="34" customFormat="1">
      <c r="A1298" s="73"/>
      <c r="B1298" s="3"/>
      <c r="C1298" s="3"/>
      <c r="D1298" s="3"/>
      <c r="E1298" s="3"/>
      <c r="F1298" s="3"/>
      <c r="G1298" s="3"/>
      <c r="H1298" s="3"/>
      <c r="I1298" s="3"/>
      <c r="J1298" s="3"/>
      <c r="K1298" s="3"/>
      <c r="L1298" s="3"/>
      <c r="M1298" s="3"/>
    </row>
    <row r="1299" spans="1:13" s="34" customFormat="1">
      <c r="A1299" s="73"/>
      <c r="B1299" s="3"/>
      <c r="C1299" s="3"/>
      <c r="D1299" s="3"/>
      <c r="E1299" s="3"/>
      <c r="F1299" s="3"/>
      <c r="G1299" s="3"/>
      <c r="H1299" s="3"/>
      <c r="I1299" s="3"/>
      <c r="J1299" s="3"/>
      <c r="K1299" s="3"/>
      <c r="L1299" s="3"/>
      <c r="M1299" s="3"/>
    </row>
    <row r="1300" spans="1:13" s="34" customFormat="1">
      <c r="A1300" s="73"/>
      <c r="B1300" s="3"/>
      <c r="C1300" s="3"/>
      <c r="D1300" s="3"/>
      <c r="E1300" s="3"/>
      <c r="F1300" s="3"/>
      <c r="G1300" s="3"/>
      <c r="H1300" s="3"/>
      <c r="I1300" s="3"/>
      <c r="J1300" s="3"/>
      <c r="K1300" s="3"/>
      <c r="L1300" s="3"/>
      <c r="M1300" s="3"/>
    </row>
    <row r="1301" spans="1:13" s="34" customFormat="1">
      <c r="A1301" s="73"/>
      <c r="B1301" s="3"/>
      <c r="C1301" s="3"/>
      <c r="D1301" s="3"/>
      <c r="E1301" s="3"/>
      <c r="F1301" s="3"/>
      <c r="G1301" s="3"/>
      <c r="H1301" s="3"/>
      <c r="I1301" s="3"/>
      <c r="J1301" s="3"/>
      <c r="K1301" s="3"/>
      <c r="L1301" s="3"/>
      <c r="M1301" s="3"/>
    </row>
    <row r="1302" spans="1:13" s="34" customFormat="1">
      <c r="A1302" s="73"/>
      <c r="B1302" s="3"/>
      <c r="C1302" s="3"/>
      <c r="D1302" s="3"/>
      <c r="E1302" s="3"/>
      <c r="F1302" s="3"/>
      <c r="G1302" s="3"/>
      <c r="H1302" s="3"/>
      <c r="I1302" s="3"/>
      <c r="J1302" s="3"/>
      <c r="K1302" s="3"/>
      <c r="L1302" s="3"/>
      <c r="M1302" s="3"/>
    </row>
    <row r="1303" spans="1:13" s="34" customFormat="1">
      <c r="A1303" s="73"/>
      <c r="B1303" s="3"/>
      <c r="C1303" s="3"/>
      <c r="D1303" s="3"/>
      <c r="E1303" s="3"/>
      <c r="F1303" s="3"/>
      <c r="G1303" s="3"/>
      <c r="H1303" s="3"/>
      <c r="I1303" s="3"/>
      <c r="J1303" s="3"/>
      <c r="K1303" s="3"/>
      <c r="L1303" s="3"/>
      <c r="M1303" s="3"/>
    </row>
    <row r="1304" spans="1:13" s="34" customFormat="1">
      <c r="A1304" s="73"/>
      <c r="B1304" s="3"/>
      <c r="C1304" s="3"/>
      <c r="D1304" s="3"/>
      <c r="E1304" s="3"/>
      <c r="F1304" s="3"/>
      <c r="G1304" s="3"/>
      <c r="H1304" s="3"/>
      <c r="I1304" s="3"/>
      <c r="J1304" s="3"/>
      <c r="K1304" s="3"/>
      <c r="L1304" s="3"/>
      <c r="M1304" s="3"/>
    </row>
    <row r="1305" spans="1:13" s="34" customFormat="1">
      <c r="A1305" s="73"/>
      <c r="B1305" s="3"/>
      <c r="C1305" s="3"/>
      <c r="D1305" s="3"/>
      <c r="E1305" s="3"/>
      <c r="F1305" s="3"/>
      <c r="G1305" s="3"/>
      <c r="H1305" s="3"/>
      <c r="I1305" s="3"/>
      <c r="J1305" s="3"/>
      <c r="K1305" s="3"/>
      <c r="L1305" s="3"/>
      <c r="M1305" s="3"/>
    </row>
    <row r="1306" spans="1:13" s="34" customFormat="1">
      <c r="A1306" s="73"/>
      <c r="B1306" s="3"/>
      <c r="C1306" s="3"/>
      <c r="D1306" s="3"/>
      <c r="E1306" s="3"/>
      <c r="F1306" s="3"/>
      <c r="G1306" s="3"/>
      <c r="H1306" s="3"/>
      <c r="I1306" s="3"/>
      <c r="J1306" s="3"/>
      <c r="K1306" s="3"/>
      <c r="L1306" s="3"/>
      <c r="M1306" s="3"/>
    </row>
    <row r="1307" spans="1:13" s="34" customFormat="1">
      <c r="A1307" s="73"/>
      <c r="B1307" s="3"/>
      <c r="C1307" s="3"/>
      <c r="D1307" s="3"/>
      <c r="E1307" s="3"/>
      <c r="F1307" s="3"/>
      <c r="G1307" s="3"/>
      <c r="H1307" s="3"/>
      <c r="I1307" s="3"/>
      <c r="J1307" s="3"/>
      <c r="K1307" s="3"/>
      <c r="L1307" s="3"/>
      <c r="M1307" s="3"/>
    </row>
    <row r="1308" spans="1:13" s="34" customFormat="1">
      <c r="A1308" s="73"/>
      <c r="B1308" s="3"/>
      <c r="C1308" s="3"/>
      <c r="D1308" s="3"/>
      <c r="E1308" s="3"/>
      <c r="F1308" s="3"/>
      <c r="G1308" s="3"/>
      <c r="H1308" s="3"/>
      <c r="I1308" s="3"/>
      <c r="J1308" s="3"/>
      <c r="K1308" s="3"/>
      <c r="L1308" s="3"/>
      <c r="M1308" s="3"/>
    </row>
    <row r="1309" spans="1:13" s="34" customFormat="1">
      <c r="A1309" s="73"/>
      <c r="B1309" s="3"/>
      <c r="C1309" s="3"/>
      <c r="D1309" s="3"/>
      <c r="E1309" s="3"/>
      <c r="F1309" s="3"/>
      <c r="G1309" s="3"/>
      <c r="H1309" s="3"/>
      <c r="I1309" s="3"/>
      <c r="J1309" s="3"/>
      <c r="K1309" s="3"/>
      <c r="L1309" s="3"/>
      <c r="M1309" s="3"/>
    </row>
    <row r="1310" spans="1:13" s="34" customFormat="1">
      <c r="A1310" s="73"/>
      <c r="B1310" s="3"/>
      <c r="C1310" s="3"/>
      <c r="D1310" s="3"/>
      <c r="E1310" s="3"/>
      <c r="F1310" s="3"/>
      <c r="G1310" s="3"/>
      <c r="H1310" s="3"/>
      <c r="I1310" s="3"/>
      <c r="J1310" s="3"/>
      <c r="K1310" s="3"/>
      <c r="L1310" s="3"/>
      <c r="M1310" s="3"/>
    </row>
    <row r="1311" spans="1:13" s="34" customFormat="1">
      <c r="A1311" s="73"/>
      <c r="B1311" s="3"/>
      <c r="C1311" s="3"/>
      <c r="D1311" s="3"/>
      <c r="E1311" s="3"/>
      <c r="F1311" s="3"/>
      <c r="G1311" s="3"/>
      <c r="H1311" s="3"/>
      <c r="I1311" s="3"/>
      <c r="J1311" s="3"/>
      <c r="K1311" s="3"/>
      <c r="L1311" s="3"/>
      <c r="M1311" s="3"/>
    </row>
    <row r="1312" spans="1:13" s="34" customFormat="1">
      <c r="A1312" s="73"/>
      <c r="B1312" s="3"/>
      <c r="C1312" s="3"/>
      <c r="D1312" s="3"/>
      <c r="E1312" s="3"/>
      <c r="F1312" s="3"/>
      <c r="G1312" s="3"/>
      <c r="H1312" s="3"/>
      <c r="I1312" s="3"/>
      <c r="J1312" s="3"/>
      <c r="K1312" s="3"/>
      <c r="L1312" s="3"/>
      <c r="M1312" s="3"/>
    </row>
    <row r="1313" spans="1:13" s="34" customFormat="1">
      <c r="A1313" s="73"/>
      <c r="B1313" s="3"/>
      <c r="C1313" s="3"/>
      <c r="D1313" s="3"/>
      <c r="E1313" s="3"/>
      <c r="F1313" s="3"/>
      <c r="G1313" s="3"/>
      <c r="H1313" s="3"/>
      <c r="I1313" s="3"/>
      <c r="J1313" s="3"/>
      <c r="K1313" s="3"/>
      <c r="L1313" s="3"/>
      <c r="M1313" s="3"/>
    </row>
    <row r="1314" spans="1:13" s="34" customFormat="1">
      <c r="A1314" s="73"/>
      <c r="B1314" s="3"/>
      <c r="C1314" s="3"/>
      <c r="D1314" s="3"/>
      <c r="E1314" s="3"/>
      <c r="F1314" s="3"/>
      <c r="G1314" s="3"/>
      <c r="H1314" s="3"/>
      <c r="I1314" s="3"/>
      <c r="J1314" s="3"/>
      <c r="K1314" s="3"/>
      <c r="L1314" s="3"/>
      <c r="M1314" s="3"/>
    </row>
    <row r="1315" spans="1:13" s="34" customFormat="1">
      <c r="A1315" s="73"/>
      <c r="B1315" s="3"/>
      <c r="C1315" s="3"/>
      <c r="D1315" s="3"/>
      <c r="E1315" s="3"/>
      <c r="F1315" s="3"/>
      <c r="G1315" s="3"/>
      <c r="H1315" s="3"/>
      <c r="I1315" s="3"/>
      <c r="J1315" s="3"/>
      <c r="K1315" s="3"/>
      <c r="L1315" s="3"/>
      <c r="M1315" s="3"/>
    </row>
    <row r="1316" spans="1:13" s="34" customFormat="1">
      <c r="A1316" s="73"/>
      <c r="B1316" s="3"/>
      <c r="C1316" s="3"/>
      <c r="D1316" s="3"/>
      <c r="E1316" s="3"/>
      <c r="F1316" s="3"/>
      <c r="G1316" s="3"/>
      <c r="H1316" s="3"/>
      <c r="I1316" s="3"/>
      <c r="J1316" s="3"/>
      <c r="K1316" s="3"/>
      <c r="L1316" s="3"/>
      <c r="M1316" s="3"/>
    </row>
    <row r="1317" spans="1:13" s="34" customFormat="1">
      <c r="A1317" s="73"/>
      <c r="B1317" s="3"/>
      <c r="C1317" s="3"/>
      <c r="D1317" s="3"/>
      <c r="E1317" s="3"/>
      <c r="F1317" s="3"/>
      <c r="G1317" s="3"/>
      <c r="H1317" s="3"/>
      <c r="I1317" s="3"/>
      <c r="J1317" s="3"/>
      <c r="K1317" s="3"/>
      <c r="L1317" s="3"/>
      <c r="M1317" s="3"/>
    </row>
    <row r="1318" spans="1:13" s="34" customFormat="1">
      <c r="A1318" s="73"/>
      <c r="B1318" s="3"/>
      <c r="C1318" s="3"/>
      <c r="D1318" s="3"/>
      <c r="E1318" s="3"/>
      <c r="F1318" s="3"/>
      <c r="G1318" s="3"/>
      <c r="H1318" s="3"/>
      <c r="I1318" s="3"/>
      <c r="J1318" s="3"/>
      <c r="K1318" s="3"/>
      <c r="L1318" s="3"/>
      <c r="M1318" s="3"/>
    </row>
    <row r="1319" spans="1:13" s="34" customFormat="1">
      <c r="A1319" s="73"/>
      <c r="B1319" s="3"/>
      <c r="C1319" s="3"/>
      <c r="D1319" s="3"/>
      <c r="E1319" s="3"/>
      <c r="F1319" s="3"/>
      <c r="G1319" s="3"/>
      <c r="H1319" s="3"/>
      <c r="I1319" s="3"/>
      <c r="J1319" s="3"/>
      <c r="K1319" s="3"/>
      <c r="L1319" s="3"/>
      <c r="M1319" s="3"/>
    </row>
    <row r="1320" spans="1:13" s="34" customFormat="1">
      <c r="A1320" s="73"/>
      <c r="B1320" s="3"/>
      <c r="C1320" s="3"/>
      <c r="D1320" s="3"/>
      <c r="E1320" s="3"/>
      <c r="F1320" s="3"/>
      <c r="G1320" s="3"/>
      <c r="H1320" s="3"/>
      <c r="I1320" s="3"/>
      <c r="J1320" s="3"/>
      <c r="K1320" s="3"/>
      <c r="L1320" s="3"/>
      <c r="M1320" s="3"/>
    </row>
    <row r="1321" spans="1:13" s="34" customFormat="1">
      <c r="A1321" s="73"/>
      <c r="B1321" s="3"/>
      <c r="C1321" s="3"/>
      <c r="D1321" s="3"/>
      <c r="E1321" s="3"/>
      <c r="F1321" s="3"/>
      <c r="G1321" s="3"/>
      <c r="H1321" s="3"/>
      <c r="I1321" s="3"/>
      <c r="J1321" s="3"/>
      <c r="K1321" s="3"/>
      <c r="L1321" s="3"/>
      <c r="M1321" s="3"/>
    </row>
    <row r="1322" spans="1:13" s="34" customFormat="1">
      <c r="A1322" s="73"/>
      <c r="B1322" s="3"/>
      <c r="C1322" s="3"/>
      <c r="D1322" s="3"/>
      <c r="E1322" s="3"/>
      <c r="F1322" s="3"/>
      <c r="G1322" s="3"/>
      <c r="H1322" s="3"/>
      <c r="I1322" s="3"/>
      <c r="J1322" s="3"/>
      <c r="K1322" s="3"/>
      <c r="L1322" s="3"/>
      <c r="M1322" s="3"/>
    </row>
    <row r="1323" spans="1:13" s="34" customFormat="1">
      <c r="A1323" s="73"/>
      <c r="B1323" s="3"/>
      <c r="C1323" s="3"/>
      <c r="D1323" s="3"/>
      <c r="E1323" s="3"/>
      <c r="F1323" s="3"/>
      <c r="G1323" s="3"/>
      <c r="H1323" s="3"/>
      <c r="I1323" s="3"/>
      <c r="J1323" s="3"/>
      <c r="K1323" s="3"/>
      <c r="L1323" s="3"/>
      <c r="M1323" s="3"/>
    </row>
    <row r="1324" spans="1:13" s="34" customFormat="1">
      <c r="A1324" s="73"/>
      <c r="B1324" s="3"/>
      <c r="C1324" s="3"/>
      <c r="D1324" s="3"/>
      <c r="E1324" s="3"/>
      <c r="F1324" s="3"/>
      <c r="G1324" s="3"/>
      <c r="H1324" s="3"/>
      <c r="I1324" s="3"/>
      <c r="J1324" s="3"/>
      <c r="K1324" s="3"/>
      <c r="L1324" s="3"/>
      <c r="M1324" s="3"/>
    </row>
    <row r="1325" spans="1:13" s="34" customFormat="1">
      <c r="A1325" s="73"/>
      <c r="B1325" s="3"/>
      <c r="C1325" s="3"/>
      <c r="D1325" s="3"/>
      <c r="E1325" s="3"/>
      <c r="F1325" s="3"/>
      <c r="G1325" s="3"/>
      <c r="H1325" s="3"/>
      <c r="I1325" s="3"/>
      <c r="J1325" s="3"/>
      <c r="K1325" s="3"/>
      <c r="L1325" s="3"/>
      <c r="M1325" s="3"/>
    </row>
    <row r="1326" spans="1:13" s="34" customFormat="1">
      <c r="A1326" s="73"/>
      <c r="B1326" s="3"/>
      <c r="C1326" s="3"/>
      <c r="D1326" s="3"/>
      <c r="E1326" s="3"/>
      <c r="F1326" s="3"/>
      <c r="G1326" s="3"/>
      <c r="H1326" s="3"/>
      <c r="I1326" s="3"/>
      <c r="J1326" s="3"/>
      <c r="K1326" s="3"/>
      <c r="L1326" s="3"/>
      <c r="M1326" s="3"/>
    </row>
    <row r="1327" spans="1:13" s="34" customFormat="1">
      <c r="A1327" s="73"/>
      <c r="B1327" s="3"/>
      <c r="C1327" s="3"/>
      <c r="D1327" s="3"/>
      <c r="E1327" s="3"/>
      <c r="F1327" s="3"/>
      <c r="G1327" s="3"/>
      <c r="H1327" s="3"/>
      <c r="I1327" s="3"/>
      <c r="J1327" s="3"/>
      <c r="K1327" s="3"/>
      <c r="L1327" s="3"/>
      <c r="M1327" s="3"/>
    </row>
    <row r="1328" spans="1:13" s="34" customFormat="1">
      <c r="A1328" s="73"/>
      <c r="B1328" s="3"/>
      <c r="C1328" s="3"/>
      <c r="D1328" s="3"/>
      <c r="E1328" s="3"/>
      <c r="F1328" s="3"/>
      <c r="G1328" s="3"/>
      <c r="H1328" s="3"/>
      <c r="I1328" s="3"/>
      <c r="J1328" s="3"/>
      <c r="K1328" s="3"/>
      <c r="L1328" s="3"/>
      <c r="M1328" s="3"/>
    </row>
    <row r="1329" spans="1:13" s="34" customFormat="1">
      <c r="A1329" s="73"/>
      <c r="B1329" s="3"/>
      <c r="C1329" s="3"/>
      <c r="D1329" s="3"/>
      <c r="E1329" s="3"/>
      <c r="F1329" s="3"/>
      <c r="G1329" s="3"/>
      <c r="H1329" s="3"/>
      <c r="I1329" s="3"/>
      <c r="J1329" s="3"/>
      <c r="K1329" s="3"/>
      <c r="L1329" s="3"/>
      <c r="M1329" s="3"/>
    </row>
    <row r="1330" spans="1:13" s="34" customFormat="1">
      <c r="A1330" s="73"/>
      <c r="B1330" s="3"/>
      <c r="C1330" s="3"/>
      <c r="D1330" s="3"/>
      <c r="E1330" s="3"/>
      <c r="F1330" s="3"/>
      <c r="G1330" s="3"/>
      <c r="H1330" s="3"/>
      <c r="I1330" s="3"/>
      <c r="J1330" s="3"/>
      <c r="K1330" s="3"/>
      <c r="L1330" s="3"/>
      <c r="M1330" s="3"/>
    </row>
    <row r="1331" spans="1:13" s="34" customFormat="1">
      <c r="A1331" s="73"/>
      <c r="B1331" s="3"/>
      <c r="C1331" s="3"/>
      <c r="D1331" s="3"/>
      <c r="E1331" s="3"/>
      <c r="F1331" s="3"/>
      <c r="G1331" s="3"/>
      <c r="H1331" s="3"/>
      <c r="I1331" s="3"/>
      <c r="J1331" s="3"/>
      <c r="K1331" s="3"/>
      <c r="L1331" s="3"/>
      <c r="M1331" s="3"/>
    </row>
    <row r="1332" spans="1:13" s="34" customFormat="1">
      <c r="A1332" s="73"/>
      <c r="B1332" s="3"/>
      <c r="C1332" s="3"/>
      <c r="D1332" s="3"/>
      <c r="E1332" s="3"/>
      <c r="F1332" s="3"/>
      <c r="G1332" s="3"/>
      <c r="H1332" s="3"/>
      <c r="I1332" s="3"/>
      <c r="J1332" s="3"/>
      <c r="K1332" s="3"/>
      <c r="L1332" s="3"/>
      <c r="M1332" s="3"/>
    </row>
    <row r="1333" spans="1:13" s="34" customFormat="1">
      <c r="A1333" s="73"/>
      <c r="B1333" s="3"/>
      <c r="C1333" s="3"/>
      <c r="D1333" s="3"/>
      <c r="E1333" s="3"/>
      <c r="F1333" s="3"/>
      <c r="G1333" s="3"/>
      <c r="H1333" s="3"/>
      <c r="I1333" s="3"/>
      <c r="J1333" s="3"/>
      <c r="K1333" s="3"/>
      <c r="L1333" s="3"/>
      <c r="M1333" s="3"/>
    </row>
    <row r="1334" spans="1:13" s="34" customFormat="1">
      <c r="A1334" s="73"/>
      <c r="B1334" s="3"/>
      <c r="C1334" s="3"/>
      <c r="D1334" s="3"/>
      <c r="E1334" s="3"/>
      <c r="F1334" s="3"/>
      <c r="G1334" s="3"/>
      <c r="H1334" s="3"/>
      <c r="I1334" s="3"/>
      <c r="J1334" s="3"/>
      <c r="K1334" s="3"/>
      <c r="L1334" s="3"/>
      <c r="M1334" s="3"/>
    </row>
    <row r="1335" spans="1:13" s="34" customFormat="1">
      <c r="A1335" s="73"/>
      <c r="B1335" s="3"/>
      <c r="C1335" s="3"/>
      <c r="D1335" s="3"/>
      <c r="E1335" s="3"/>
      <c r="F1335" s="3"/>
      <c r="G1335" s="3"/>
      <c r="H1335" s="3"/>
      <c r="I1335" s="3"/>
      <c r="J1335" s="3"/>
      <c r="K1335" s="3"/>
      <c r="L1335" s="3"/>
      <c r="M1335" s="3"/>
    </row>
    <row r="1336" spans="1:13" s="34" customFormat="1">
      <c r="A1336" s="73"/>
      <c r="B1336" s="3"/>
      <c r="C1336" s="3"/>
      <c r="D1336" s="3"/>
      <c r="E1336" s="3"/>
      <c r="F1336" s="3"/>
      <c r="G1336" s="3"/>
      <c r="H1336" s="3"/>
      <c r="I1336" s="3"/>
      <c r="J1336" s="3"/>
      <c r="K1336" s="3"/>
      <c r="L1336" s="3"/>
      <c r="M1336" s="3"/>
    </row>
    <row r="1337" spans="1:13" s="34" customFormat="1">
      <c r="A1337" s="73"/>
      <c r="B1337" s="3"/>
      <c r="C1337" s="3"/>
      <c r="D1337" s="3"/>
      <c r="E1337" s="3"/>
      <c r="F1337" s="3"/>
      <c r="G1337" s="3"/>
      <c r="H1337" s="3"/>
      <c r="I1337" s="3"/>
      <c r="J1337" s="3"/>
      <c r="K1337" s="3"/>
      <c r="L1337" s="3"/>
      <c r="M1337" s="3"/>
    </row>
    <row r="1338" spans="1:13" s="34" customFormat="1">
      <c r="A1338" s="73"/>
      <c r="B1338" s="3"/>
      <c r="C1338" s="3"/>
      <c r="D1338" s="3"/>
      <c r="E1338" s="3"/>
      <c r="F1338" s="3"/>
      <c r="G1338" s="3"/>
      <c r="H1338" s="3"/>
      <c r="I1338" s="3"/>
      <c r="J1338" s="3"/>
      <c r="K1338" s="3"/>
      <c r="L1338" s="3"/>
      <c r="M1338" s="3"/>
    </row>
    <row r="1339" spans="1:13" s="34" customFormat="1">
      <c r="A1339" s="73"/>
      <c r="B1339" s="3"/>
      <c r="C1339" s="3"/>
      <c r="D1339" s="3"/>
      <c r="E1339" s="3"/>
      <c r="F1339" s="3"/>
      <c r="G1339" s="3"/>
      <c r="H1339" s="3"/>
      <c r="I1339" s="3"/>
      <c r="J1339" s="3"/>
      <c r="K1339" s="3"/>
      <c r="L1339" s="3"/>
      <c r="M1339" s="3"/>
    </row>
    <row r="1340" spans="1:13" s="34" customFormat="1">
      <c r="A1340" s="73"/>
      <c r="B1340" s="3"/>
      <c r="C1340" s="3"/>
      <c r="D1340" s="3"/>
      <c r="E1340" s="3"/>
      <c r="F1340" s="3"/>
      <c r="G1340" s="3"/>
      <c r="H1340" s="3"/>
      <c r="I1340" s="3"/>
      <c r="J1340" s="3"/>
      <c r="K1340" s="3"/>
      <c r="L1340" s="3"/>
      <c r="M1340" s="3"/>
    </row>
    <row r="1341" spans="1:13" s="34" customFormat="1">
      <c r="A1341" s="73"/>
      <c r="B1341" s="3"/>
      <c r="C1341" s="3"/>
      <c r="D1341" s="3"/>
      <c r="E1341" s="3"/>
      <c r="F1341" s="3"/>
      <c r="G1341" s="3"/>
      <c r="H1341" s="3"/>
      <c r="I1341" s="3"/>
      <c r="J1341" s="3"/>
      <c r="K1341" s="3"/>
      <c r="L1341" s="3"/>
      <c r="M1341" s="3"/>
    </row>
    <row r="1342" spans="1:13" s="34" customFormat="1">
      <c r="A1342" s="73"/>
      <c r="B1342" s="3"/>
      <c r="C1342" s="3"/>
      <c r="D1342" s="3"/>
      <c r="E1342" s="3"/>
      <c r="F1342" s="3"/>
      <c r="G1342" s="3"/>
      <c r="H1342" s="3"/>
      <c r="I1342" s="3"/>
      <c r="J1342" s="3"/>
      <c r="K1342" s="3"/>
      <c r="L1342" s="3"/>
      <c r="M1342" s="3"/>
    </row>
    <row r="1343" spans="1:13" s="34" customFormat="1">
      <c r="A1343" s="73"/>
      <c r="B1343" s="3"/>
      <c r="C1343" s="3"/>
      <c r="D1343" s="3"/>
      <c r="E1343" s="3"/>
      <c r="F1343" s="3"/>
      <c r="G1343" s="3"/>
      <c r="H1343" s="3"/>
      <c r="I1343" s="3"/>
      <c r="J1343" s="3"/>
      <c r="K1343" s="3"/>
      <c r="L1343" s="3"/>
      <c r="M1343" s="3"/>
    </row>
    <row r="1344" spans="1:13" s="34" customFormat="1">
      <c r="A1344" s="73"/>
      <c r="B1344" s="3"/>
      <c r="C1344" s="3"/>
      <c r="D1344" s="3"/>
      <c r="E1344" s="3"/>
      <c r="F1344" s="3"/>
      <c r="G1344" s="3"/>
      <c r="H1344" s="3"/>
      <c r="I1344" s="3"/>
      <c r="J1344" s="3"/>
      <c r="K1344" s="3"/>
      <c r="L1344" s="3"/>
      <c r="M1344" s="3"/>
    </row>
    <row r="1345" spans="1:13" s="34" customFormat="1">
      <c r="A1345" s="73"/>
      <c r="B1345" s="3"/>
      <c r="C1345" s="3"/>
      <c r="D1345" s="3"/>
      <c r="E1345" s="3"/>
      <c r="F1345" s="3"/>
      <c r="G1345" s="3"/>
      <c r="H1345" s="3"/>
      <c r="I1345" s="3"/>
      <c r="J1345" s="3"/>
      <c r="K1345" s="3"/>
      <c r="L1345" s="3"/>
      <c r="M1345" s="3"/>
    </row>
    <row r="1346" spans="1:13" s="34" customFormat="1">
      <c r="A1346" s="73"/>
      <c r="B1346" s="3"/>
      <c r="C1346" s="3"/>
      <c r="D1346" s="3"/>
      <c r="E1346" s="3"/>
      <c r="F1346" s="3"/>
      <c r="G1346" s="3"/>
      <c r="H1346" s="3"/>
      <c r="I1346" s="3"/>
      <c r="J1346" s="3"/>
      <c r="K1346" s="3"/>
      <c r="L1346" s="3"/>
      <c r="M1346" s="3"/>
    </row>
    <row r="1347" spans="1:13" s="34" customFormat="1">
      <c r="A1347" s="73"/>
      <c r="B1347" s="3"/>
      <c r="C1347" s="3"/>
      <c r="D1347" s="3"/>
      <c r="E1347" s="3"/>
      <c r="F1347" s="3"/>
      <c r="G1347" s="3"/>
      <c r="H1347" s="3"/>
      <c r="I1347" s="3"/>
      <c r="J1347" s="3"/>
      <c r="K1347" s="3"/>
      <c r="L1347" s="3"/>
      <c r="M1347" s="3"/>
    </row>
    <row r="1348" spans="1:13" s="34" customFormat="1">
      <c r="A1348" s="73"/>
      <c r="B1348" s="3"/>
      <c r="C1348" s="3"/>
      <c r="D1348" s="3"/>
      <c r="E1348" s="3"/>
      <c r="F1348" s="3"/>
      <c r="G1348" s="3"/>
      <c r="H1348" s="3"/>
      <c r="I1348" s="3"/>
      <c r="J1348" s="3"/>
      <c r="K1348" s="3"/>
      <c r="L1348" s="3"/>
      <c r="M1348" s="3"/>
    </row>
    <row r="1349" spans="1:13" s="34" customFormat="1">
      <c r="A1349" s="73"/>
      <c r="B1349" s="3"/>
      <c r="C1349" s="3"/>
      <c r="D1349" s="3"/>
      <c r="E1349" s="3"/>
      <c r="F1349" s="3"/>
      <c r="G1349" s="3"/>
      <c r="H1349" s="3"/>
      <c r="I1349" s="3"/>
      <c r="J1349" s="3"/>
      <c r="K1349" s="3"/>
      <c r="L1349" s="3"/>
      <c r="M1349" s="3"/>
    </row>
    <row r="1350" spans="1:13" s="34" customFormat="1">
      <c r="A1350" s="73"/>
      <c r="B1350" s="3"/>
      <c r="C1350" s="3"/>
      <c r="D1350" s="3"/>
      <c r="E1350" s="3"/>
      <c r="F1350" s="3"/>
      <c r="G1350" s="3"/>
      <c r="H1350" s="3"/>
      <c r="I1350" s="3"/>
      <c r="J1350" s="3"/>
      <c r="K1350" s="3"/>
      <c r="L1350" s="3"/>
      <c r="M1350" s="3"/>
    </row>
    <row r="1351" spans="1:13" s="34" customFormat="1">
      <c r="A1351" s="73"/>
      <c r="B1351" s="3"/>
      <c r="C1351" s="3"/>
      <c r="D1351" s="3"/>
      <c r="E1351" s="3"/>
      <c r="F1351" s="3"/>
      <c r="G1351" s="3"/>
      <c r="H1351" s="3"/>
      <c r="I1351" s="3"/>
      <c r="J1351" s="3"/>
      <c r="K1351" s="3"/>
      <c r="L1351" s="3"/>
      <c r="M1351" s="3"/>
    </row>
    <row r="1352" spans="1:13" s="34" customFormat="1">
      <c r="A1352" s="73"/>
      <c r="B1352" s="3"/>
      <c r="C1352" s="3"/>
      <c r="D1352" s="3"/>
      <c r="E1352" s="3"/>
      <c r="F1352" s="3"/>
      <c r="G1352" s="3"/>
      <c r="H1352" s="3"/>
      <c r="I1352" s="3"/>
      <c r="J1352" s="3"/>
      <c r="K1352" s="3"/>
      <c r="L1352" s="3"/>
      <c r="M1352" s="3"/>
    </row>
    <row r="1353" spans="1:13" s="34" customFormat="1">
      <c r="A1353" s="73"/>
      <c r="B1353" s="3"/>
      <c r="C1353" s="3"/>
      <c r="D1353" s="3"/>
      <c r="E1353" s="3"/>
      <c r="F1353" s="3"/>
      <c r="G1353" s="3"/>
      <c r="H1353" s="3"/>
      <c r="I1353" s="3"/>
      <c r="J1353" s="3"/>
      <c r="K1353" s="3"/>
      <c r="L1353" s="3"/>
      <c r="M1353" s="3"/>
    </row>
    <row r="1354" spans="1:13" s="34" customFormat="1">
      <c r="A1354" s="73"/>
      <c r="B1354" s="3"/>
      <c r="C1354" s="3"/>
      <c r="D1354" s="3"/>
      <c r="E1354" s="3"/>
      <c r="F1354" s="3"/>
      <c r="G1354" s="3"/>
      <c r="H1354" s="3"/>
      <c r="I1354" s="3"/>
      <c r="J1354" s="3"/>
      <c r="K1354" s="3"/>
      <c r="L1354" s="3"/>
      <c r="M1354" s="3"/>
    </row>
    <row r="1355" spans="1:13" s="34" customFormat="1">
      <c r="A1355" s="73"/>
      <c r="B1355" s="3"/>
      <c r="C1355" s="3"/>
      <c r="D1355" s="3"/>
      <c r="E1355" s="3"/>
      <c r="F1355" s="3"/>
      <c r="G1355" s="3"/>
      <c r="H1355" s="3"/>
      <c r="I1355" s="3"/>
      <c r="J1355" s="3"/>
      <c r="K1355" s="3"/>
      <c r="L1355" s="3"/>
      <c r="M1355" s="3"/>
    </row>
    <row r="1356" spans="1:13" s="34" customFormat="1">
      <c r="A1356" s="73"/>
      <c r="B1356" s="3"/>
      <c r="C1356" s="3"/>
      <c r="D1356" s="3"/>
      <c r="E1356" s="3"/>
      <c r="F1356" s="3"/>
      <c r="G1356" s="3"/>
      <c r="H1356" s="3"/>
      <c r="I1356" s="3"/>
      <c r="J1356" s="3"/>
      <c r="K1356" s="3"/>
      <c r="L1356" s="3"/>
      <c r="M1356" s="3"/>
    </row>
    <row r="1357" spans="1:13" s="34" customFormat="1">
      <c r="A1357" s="73"/>
      <c r="B1357" s="3"/>
      <c r="C1357" s="3"/>
      <c r="D1357" s="3"/>
      <c r="E1357" s="3"/>
      <c r="F1357" s="3"/>
      <c r="G1357" s="3"/>
      <c r="H1357" s="3"/>
      <c r="I1357" s="3"/>
      <c r="J1357" s="3"/>
      <c r="K1357" s="3"/>
      <c r="L1357" s="3"/>
      <c r="M1357" s="3"/>
    </row>
    <row r="1358" spans="1:13" s="34" customFormat="1">
      <c r="A1358" s="73"/>
      <c r="B1358" s="3"/>
      <c r="C1358" s="3"/>
      <c r="D1358" s="3"/>
      <c r="E1358" s="3"/>
      <c r="F1358" s="3"/>
      <c r="G1358" s="3"/>
      <c r="H1358" s="3"/>
      <c r="I1358" s="3"/>
      <c r="J1358" s="3"/>
      <c r="K1358" s="3"/>
      <c r="L1358" s="3"/>
      <c r="M1358" s="3"/>
    </row>
    <row r="1359" spans="1:13" s="34" customFormat="1">
      <c r="A1359" s="73"/>
      <c r="B1359" s="3"/>
      <c r="C1359" s="3"/>
      <c r="D1359" s="3"/>
      <c r="E1359" s="3"/>
      <c r="F1359" s="3"/>
      <c r="G1359" s="3"/>
      <c r="H1359" s="3"/>
      <c r="I1359" s="3"/>
      <c r="J1359" s="3"/>
      <c r="K1359" s="3"/>
      <c r="L1359" s="3"/>
      <c r="M1359" s="3"/>
    </row>
    <row r="1360" spans="1:13" s="34" customFormat="1">
      <c r="A1360" s="73"/>
      <c r="B1360" s="3"/>
      <c r="C1360" s="3"/>
      <c r="D1360" s="3"/>
      <c r="E1360" s="3"/>
      <c r="F1360" s="3"/>
      <c r="G1360" s="3"/>
      <c r="H1360" s="3"/>
      <c r="I1360" s="3"/>
      <c r="J1360" s="3"/>
      <c r="K1360" s="3"/>
      <c r="L1360" s="3"/>
      <c r="M1360" s="3"/>
    </row>
    <row r="1361" spans="1:13" s="34" customFormat="1">
      <c r="A1361" s="73"/>
      <c r="B1361" s="3"/>
      <c r="C1361" s="3"/>
      <c r="D1361" s="3"/>
      <c r="E1361" s="3"/>
      <c r="F1361" s="3"/>
      <c r="G1361" s="3"/>
      <c r="H1361" s="3"/>
      <c r="I1361" s="3"/>
      <c r="J1361" s="3"/>
      <c r="K1361" s="3"/>
      <c r="L1361" s="3"/>
      <c r="M1361" s="3"/>
    </row>
    <row r="1362" spans="1:13" s="34" customFormat="1">
      <c r="A1362" s="73"/>
      <c r="B1362" s="3"/>
      <c r="C1362" s="3"/>
      <c r="D1362" s="3"/>
      <c r="E1362" s="3"/>
      <c r="F1362" s="3"/>
      <c r="G1362" s="3"/>
      <c r="H1362" s="3"/>
      <c r="I1362" s="3"/>
      <c r="J1362" s="3"/>
      <c r="K1362" s="3"/>
      <c r="L1362" s="3"/>
      <c r="M1362" s="3"/>
    </row>
    <row r="1363" spans="1:13" s="34" customFormat="1">
      <c r="A1363" s="73"/>
      <c r="B1363" s="3"/>
      <c r="C1363" s="3"/>
      <c r="D1363" s="3"/>
      <c r="E1363" s="3"/>
      <c r="F1363" s="3"/>
      <c r="G1363" s="3"/>
      <c r="H1363" s="3"/>
      <c r="I1363" s="3"/>
      <c r="J1363" s="3"/>
      <c r="K1363" s="3"/>
      <c r="L1363" s="3"/>
      <c r="M1363" s="3"/>
    </row>
    <row r="1364" spans="1:13" s="34" customFormat="1">
      <c r="A1364" s="73"/>
      <c r="B1364" s="3"/>
      <c r="C1364" s="3"/>
      <c r="D1364" s="3"/>
      <c r="E1364" s="3"/>
      <c r="F1364" s="3"/>
      <c r="G1364" s="3"/>
      <c r="H1364" s="3"/>
      <c r="I1364" s="3"/>
      <c r="J1364" s="3"/>
      <c r="K1364" s="3"/>
      <c r="L1364" s="3"/>
      <c r="M1364" s="3"/>
    </row>
    <row r="1365" spans="1:13" s="34" customFormat="1">
      <c r="A1365" s="73"/>
      <c r="B1365" s="3"/>
      <c r="C1365" s="3"/>
      <c r="D1365" s="3"/>
      <c r="E1365" s="3"/>
      <c r="F1365" s="3"/>
      <c r="G1365" s="3"/>
      <c r="H1365" s="3"/>
      <c r="I1365" s="3"/>
      <c r="J1365" s="3"/>
      <c r="K1365" s="3"/>
      <c r="L1365" s="3"/>
      <c r="M1365" s="3"/>
    </row>
    <row r="1366" spans="1:13" s="34" customFormat="1">
      <c r="A1366" s="73"/>
      <c r="B1366" s="3"/>
      <c r="C1366" s="3"/>
      <c r="D1366" s="3"/>
      <c r="E1366" s="3"/>
      <c r="F1366" s="3"/>
      <c r="G1366" s="3"/>
      <c r="H1366" s="3"/>
      <c r="I1366" s="3"/>
      <c r="J1366" s="3"/>
      <c r="K1366" s="3"/>
      <c r="L1366" s="3"/>
      <c r="M1366" s="3"/>
    </row>
    <row r="1367" spans="1:13" s="34" customFormat="1">
      <c r="A1367" s="73"/>
      <c r="B1367" s="3"/>
      <c r="C1367" s="3"/>
      <c r="D1367" s="3"/>
      <c r="E1367" s="3"/>
      <c r="F1367" s="3"/>
      <c r="G1367" s="3"/>
      <c r="H1367" s="3"/>
      <c r="I1367" s="3"/>
      <c r="J1367" s="3"/>
      <c r="K1367" s="3"/>
      <c r="L1367" s="3"/>
      <c r="M1367" s="3"/>
    </row>
    <row r="1368" spans="1:13" s="34" customFormat="1">
      <c r="A1368" s="73"/>
      <c r="B1368" s="3"/>
      <c r="C1368" s="3"/>
      <c r="D1368" s="3"/>
      <c r="E1368" s="3"/>
      <c r="F1368" s="3"/>
      <c r="G1368" s="3"/>
      <c r="H1368" s="3"/>
      <c r="I1368" s="3"/>
      <c r="J1368" s="3"/>
      <c r="K1368" s="3"/>
      <c r="L1368" s="3"/>
      <c r="M1368" s="3"/>
    </row>
    <row r="1369" spans="1:13" s="34" customFormat="1">
      <c r="A1369" s="73"/>
      <c r="B1369" s="3"/>
      <c r="C1369" s="3"/>
      <c r="D1369" s="3"/>
      <c r="E1369" s="3"/>
      <c r="F1369" s="3"/>
      <c r="G1369" s="3"/>
      <c r="H1369" s="3"/>
      <c r="I1369" s="3"/>
      <c r="J1369" s="3"/>
      <c r="K1369" s="3"/>
      <c r="L1369" s="3"/>
      <c r="M1369" s="3"/>
    </row>
    <row r="1370" spans="1:13" s="34" customFormat="1">
      <c r="A1370" s="73"/>
      <c r="B1370" s="3"/>
      <c r="C1370" s="3"/>
      <c r="D1370" s="3"/>
      <c r="E1370" s="3"/>
      <c r="F1370" s="3"/>
      <c r="G1370" s="3"/>
      <c r="H1370" s="3"/>
      <c r="I1370" s="3"/>
      <c r="J1370" s="3"/>
      <c r="K1370" s="3"/>
      <c r="L1370" s="3"/>
      <c r="M1370" s="3"/>
    </row>
    <row r="1371" spans="1:13" s="34" customFormat="1">
      <c r="A1371" s="73"/>
      <c r="B1371" s="3"/>
      <c r="C1371" s="3"/>
      <c r="D1371" s="3"/>
      <c r="E1371" s="3"/>
      <c r="F1371" s="3"/>
      <c r="G1371" s="3"/>
      <c r="H1371" s="3"/>
      <c r="I1371" s="3"/>
      <c r="J1371" s="3"/>
      <c r="K1371" s="3"/>
      <c r="L1371" s="3"/>
      <c r="M1371" s="3"/>
    </row>
    <row r="1372" spans="1:13" s="34" customFormat="1">
      <c r="A1372" s="73"/>
      <c r="B1372" s="3"/>
      <c r="C1372" s="3"/>
      <c r="D1372" s="3"/>
      <c r="E1372" s="3"/>
      <c r="F1372" s="3"/>
      <c r="G1372" s="3"/>
      <c r="H1372" s="3"/>
      <c r="I1372" s="3"/>
      <c r="J1372" s="3"/>
      <c r="K1372" s="3"/>
      <c r="L1372" s="3"/>
      <c r="M1372" s="3"/>
    </row>
    <row r="1373" spans="1:13" s="34" customFormat="1">
      <c r="A1373" s="73"/>
      <c r="B1373" s="3"/>
      <c r="C1373" s="3"/>
      <c r="D1373" s="3"/>
      <c r="E1373" s="3"/>
      <c r="F1373" s="3"/>
      <c r="G1373" s="3"/>
      <c r="H1373" s="3"/>
      <c r="I1373" s="3"/>
      <c r="J1373" s="3"/>
      <c r="K1373" s="3"/>
      <c r="L1373" s="3"/>
      <c r="M1373" s="3"/>
    </row>
    <row r="1374" spans="1:13" s="34" customFormat="1">
      <c r="A1374" s="73"/>
      <c r="B1374" s="3"/>
      <c r="C1374" s="3"/>
      <c r="D1374" s="3"/>
      <c r="E1374" s="3"/>
      <c r="F1374" s="3"/>
      <c r="G1374" s="3"/>
      <c r="H1374" s="3"/>
      <c r="I1374" s="3"/>
      <c r="J1374" s="3"/>
      <c r="K1374" s="3"/>
      <c r="L1374" s="3"/>
      <c r="M1374" s="3"/>
    </row>
    <row r="1375" spans="1:13" s="34" customFormat="1">
      <c r="A1375" s="73"/>
      <c r="B1375" s="3"/>
      <c r="C1375" s="3"/>
      <c r="D1375" s="3"/>
      <c r="E1375" s="3"/>
      <c r="F1375" s="3"/>
      <c r="G1375" s="3"/>
      <c r="H1375" s="3"/>
      <c r="I1375" s="3"/>
      <c r="J1375" s="3"/>
      <c r="K1375" s="3"/>
      <c r="L1375" s="3"/>
      <c r="M1375" s="3"/>
    </row>
    <row r="1376" spans="1:13" s="34" customFormat="1">
      <c r="A1376" s="73"/>
      <c r="B1376" s="3"/>
      <c r="C1376" s="3"/>
      <c r="D1376" s="3"/>
      <c r="E1376" s="3"/>
      <c r="F1376" s="3"/>
      <c r="G1376" s="3"/>
      <c r="H1376" s="3"/>
      <c r="I1376" s="3"/>
      <c r="J1376" s="3"/>
      <c r="K1376" s="3"/>
      <c r="L1376" s="3"/>
      <c r="M1376" s="3"/>
    </row>
    <row r="1377" spans="1:13" s="34" customFormat="1">
      <c r="A1377" s="73"/>
      <c r="B1377" s="3"/>
      <c r="C1377" s="3"/>
      <c r="D1377" s="3"/>
      <c r="E1377" s="3"/>
      <c r="F1377" s="3"/>
      <c r="G1377" s="3"/>
      <c r="H1377" s="3"/>
      <c r="I1377" s="3"/>
      <c r="J1377" s="3"/>
      <c r="K1377" s="3"/>
      <c r="L1377" s="3"/>
      <c r="M1377" s="3"/>
    </row>
    <row r="1378" spans="1:13" s="34" customFormat="1">
      <c r="A1378" s="73"/>
      <c r="B1378" s="3"/>
      <c r="C1378" s="3"/>
      <c r="D1378" s="3"/>
      <c r="E1378" s="3"/>
      <c r="F1378" s="3"/>
      <c r="G1378" s="3"/>
      <c r="H1378" s="3"/>
      <c r="I1378" s="3"/>
      <c r="J1378" s="3"/>
      <c r="K1378" s="3"/>
      <c r="L1378" s="3"/>
      <c r="M1378" s="3"/>
    </row>
    <row r="1379" spans="1:13" s="34" customFormat="1">
      <c r="A1379" s="73"/>
      <c r="B1379" s="3"/>
      <c r="C1379" s="3"/>
      <c r="D1379" s="3"/>
      <c r="E1379" s="3"/>
      <c r="F1379" s="3"/>
      <c r="G1379" s="3"/>
      <c r="H1379" s="3"/>
      <c r="I1379" s="3"/>
      <c r="J1379" s="3"/>
      <c r="K1379" s="3"/>
      <c r="L1379" s="3"/>
      <c r="M1379" s="3"/>
    </row>
    <row r="1380" spans="1:13" s="34" customFormat="1">
      <c r="A1380" s="73"/>
      <c r="B1380" s="3"/>
      <c r="C1380" s="3"/>
      <c r="D1380" s="3"/>
      <c r="E1380" s="3"/>
      <c r="F1380" s="3"/>
      <c r="G1380" s="3"/>
      <c r="H1380" s="3"/>
      <c r="I1380" s="3"/>
      <c r="J1380" s="3"/>
      <c r="K1380" s="3"/>
      <c r="L1380" s="3"/>
      <c r="M1380" s="3"/>
    </row>
    <row r="1381" spans="1:13" s="34" customFormat="1">
      <c r="A1381" s="73"/>
      <c r="B1381" s="3"/>
      <c r="C1381" s="3"/>
      <c r="D1381" s="3"/>
      <c r="E1381" s="3"/>
      <c r="F1381" s="3"/>
      <c r="G1381" s="3"/>
      <c r="H1381" s="3"/>
      <c r="I1381" s="3"/>
      <c r="J1381" s="3"/>
      <c r="K1381" s="3"/>
      <c r="L1381" s="3"/>
      <c r="M1381" s="3"/>
    </row>
    <row r="1382" spans="1:13" s="34" customFormat="1">
      <c r="A1382" s="73"/>
      <c r="B1382" s="3"/>
      <c r="C1382" s="3"/>
      <c r="D1382" s="3"/>
      <c r="E1382" s="3"/>
      <c r="F1382" s="3"/>
      <c r="G1382" s="3"/>
      <c r="H1382" s="3"/>
      <c r="I1382" s="3"/>
      <c r="J1382" s="3"/>
      <c r="K1382" s="3"/>
      <c r="L1382" s="3"/>
      <c r="M1382" s="3"/>
    </row>
    <row r="1383" spans="1:13" s="34" customFormat="1">
      <c r="A1383" s="73"/>
      <c r="B1383" s="3"/>
      <c r="C1383" s="3"/>
      <c r="D1383" s="3"/>
      <c r="E1383" s="3"/>
      <c r="F1383" s="3"/>
      <c r="G1383" s="3"/>
      <c r="H1383" s="3"/>
      <c r="I1383" s="3"/>
      <c r="J1383" s="3"/>
      <c r="K1383" s="3"/>
      <c r="L1383" s="3"/>
      <c r="M1383" s="3"/>
    </row>
    <row r="1384" spans="1:13" s="34" customFormat="1">
      <c r="A1384" s="73"/>
      <c r="B1384" s="3"/>
      <c r="C1384" s="3"/>
      <c r="D1384" s="3"/>
      <c r="E1384" s="3"/>
      <c r="F1384" s="3"/>
      <c r="G1384" s="3"/>
      <c r="H1384" s="3"/>
      <c r="I1384" s="3"/>
      <c r="J1384" s="3"/>
      <c r="K1384" s="3"/>
      <c r="L1384" s="3"/>
      <c r="M1384" s="3"/>
    </row>
    <row r="1385" spans="1:13" s="34" customFormat="1">
      <c r="A1385" s="73"/>
      <c r="B1385" s="3"/>
      <c r="C1385" s="3"/>
      <c r="D1385" s="3"/>
      <c r="E1385" s="3"/>
      <c r="F1385" s="3"/>
      <c r="G1385" s="3"/>
      <c r="H1385" s="3"/>
      <c r="I1385" s="3"/>
      <c r="J1385" s="3"/>
      <c r="K1385" s="3"/>
      <c r="L1385" s="3"/>
      <c r="M1385" s="3"/>
    </row>
    <row r="1386" spans="1:13" s="34" customFormat="1">
      <c r="A1386" s="73"/>
      <c r="B1386" s="3"/>
      <c r="C1386" s="3"/>
      <c r="D1386" s="3"/>
      <c r="E1386" s="3"/>
      <c r="F1386" s="3"/>
      <c r="G1386" s="3"/>
      <c r="H1386" s="3"/>
      <c r="I1386" s="3"/>
      <c r="J1386" s="3"/>
      <c r="K1386" s="3"/>
      <c r="L1386" s="3"/>
      <c r="M1386" s="3"/>
    </row>
    <row r="1387" spans="1:13" s="34" customFormat="1">
      <c r="A1387" s="73"/>
      <c r="B1387" s="3"/>
      <c r="C1387" s="3"/>
      <c r="D1387" s="3"/>
      <c r="E1387" s="3"/>
      <c r="F1387" s="3"/>
      <c r="G1387" s="3"/>
      <c r="H1387" s="3"/>
      <c r="I1387" s="3"/>
      <c r="J1387" s="3"/>
      <c r="K1387" s="3"/>
      <c r="L1387" s="3"/>
      <c r="M1387" s="3"/>
    </row>
    <row r="1388" spans="1:13" s="34" customFormat="1">
      <c r="A1388" s="73"/>
      <c r="B1388" s="3"/>
      <c r="C1388" s="3"/>
      <c r="D1388" s="3"/>
      <c r="E1388" s="3"/>
      <c r="F1388" s="3"/>
      <c r="G1388" s="3"/>
      <c r="H1388" s="3"/>
      <c r="I1388" s="3"/>
      <c r="J1388" s="3"/>
      <c r="K1388" s="3"/>
      <c r="L1388" s="3"/>
      <c r="M1388" s="3"/>
    </row>
    <row r="1389" spans="1:13" s="34" customFormat="1">
      <c r="A1389" s="73"/>
      <c r="B1389" s="3"/>
      <c r="C1389" s="3"/>
      <c r="D1389" s="3"/>
      <c r="E1389" s="3"/>
      <c r="F1389" s="3"/>
      <c r="G1389" s="3"/>
      <c r="H1389" s="3"/>
      <c r="I1389" s="3"/>
      <c r="J1389" s="3"/>
      <c r="K1389" s="3"/>
      <c r="L1389" s="3"/>
      <c r="M1389" s="3"/>
    </row>
    <row r="1390" spans="1:13" s="34" customFormat="1">
      <c r="A1390" s="73"/>
      <c r="B1390" s="3"/>
      <c r="C1390" s="3"/>
      <c r="D1390" s="3"/>
      <c r="E1390" s="3"/>
      <c r="F1390" s="3"/>
      <c r="G1390" s="3"/>
      <c r="H1390" s="3"/>
      <c r="I1390" s="3"/>
      <c r="J1390" s="3"/>
      <c r="K1390" s="3"/>
      <c r="L1390" s="3"/>
      <c r="M1390" s="3"/>
    </row>
    <row r="1391" spans="1:13" s="34" customFormat="1">
      <c r="A1391" s="73"/>
      <c r="B1391" s="3"/>
      <c r="C1391" s="3"/>
      <c r="D1391" s="3"/>
      <c r="E1391" s="3"/>
      <c r="F1391" s="3"/>
      <c r="G1391" s="3"/>
      <c r="H1391" s="3"/>
      <c r="I1391" s="3"/>
      <c r="J1391" s="3"/>
      <c r="K1391" s="3"/>
      <c r="L1391" s="3"/>
      <c r="M1391" s="3"/>
    </row>
    <row r="1392" spans="1:13" s="34" customFormat="1">
      <c r="A1392" s="73"/>
      <c r="B1392" s="3"/>
      <c r="C1392" s="3"/>
      <c r="D1392" s="3"/>
      <c r="E1392" s="3"/>
      <c r="F1392" s="3"/>
      <c r="G1392" s="3"/>
      <c r="H1392" s="3"/>
      <c r="I1392" s="3"/>
      <c r="J1392" s="3"/>
      <c r="K1392" s="3"/>
      <c r="L1392" s="3"/>
      <c r="M1392" s="3"/>
    </row>
    <row r="1393" spans="1:13" s="34" customFormat="1">
      <c r="A1393" s="73"/>
      <c r="B1393" s="3"/>
      <c r="C1393" s="3"/>
      <c r="D1393" s="3"/>
      <c r="E1393" s="3"/>
      <c r="F1393" s="3"/>
      <c r="G1393" s="3"/>
      <c r="H1393" s="3"/>
      <c r="I1393" s="3"/>
      <c r="J1393" s="3"/>
      <c r="K1393" s="3"/>
      <c r="L1393" s="3"/>
      <c r="M1393" s="3"/>
    </row>
    <row r="1394" spans="1:13" s="34" customFormat="1">
      <c r="A1394" s="73"/>
      <c r="B1394" s="3"/>
      <c r="C1394" s="3"/>
      <c r="D1394" s="3"/>
      <c r="E1394" s="3"/>
      <c r="F1394" s="3"/>
      <c r="G1394" s="3"/>
      <c r="H1394" s="3"/>
      <c r="I1394" s="3"/>
      <c r="J1394" s="3"/>
      <c r="K1394" s="3"/>
      <c r="L1394" s="3"/>
      <c r="M1394" s="3"/>
    </row>
    <row r="1395" spans="1:13" s="34" customFormat="1">
      <c r="A1395" s="73"/>
      <c r="B1395" s="3"/>
      <c r="C1395" s="3"/>
      <c r="D1395" s="3"/>
      <c r="E1395" s="3"/>
      <c r="F1395" s="3"/>
      <c r="G1395" s="3"/>
      <c r="H1395" s="3"/>
      <c r="I1395" s="3"/>
      <c r="J1395" s="3"/>
      <c r="K1395" s="3"/>
      <c r="L1395" s="3"/>
      <c r="M1395" s="3"/>
    </row>
    <row r="1396" spans="1:13" s="34" customFormat="1">
      <c r="A1396" s="73"/>
      <c r="B1396" s="3"/>
      <c r="C1396" s="3"/>
      <c r="D1396" s="3"/>
      <c r="E1396" s="3"/>
      <c r="F1396" s="3"/>
      <c r="G1396" s="3"/>
      <c r="H1396" s="3"/>
      <c r="I1396" s="3"/>
      <c r="J1396" s="3"/>
      <c r="K1396" s="3"/>
      <c r="L1396" s="3"/>
      <c r="M1396" s="3"/>
    </row>
    <row r="1397" spans="1:13" s="34" customFormat="1">
      <c r="A1397" s="73"/>
      <c r="B1397" s="3"/>
      <c r="C1397" s="3"/>
      <c r="D1397" s="3"/>
      <c r="E1397" s="3"/>
      <c r="F1397" s="3"/>
      <c r="G1397" s="3"/>
      <c r="H1397" s="3"/>
      <c r="I1397" s="3"/>
      <c r="J1397" s="3"/>
      <c r="K1397" s="3"/>
      <c r="L1397" s="3"/>
      <c r="M1397" s="3"/>
    </row>
    <row r="1398" spans="1:13" s="34" customFormat="1">
      <c r="A1398" s="73"/>
      <c r="B1398" s="3"/>
      <c r="C1398" s="3"/>
      <c r="D1398" s="3"/>
      <c r="E1398" s="3"/>
      <c r="F1398" s="3"/>
      <c r="G1398" s="3"/>
      <c r="H1398" s="3"/>
      <c r="I1398" s="3"/>
      <c r="J1398" s="3"/>
      <c r="K1398" s="3"/>
      <c r="L1398" s="3"/>
      <c r="M1398" s="3"/>
    </row>
    <row r="1399" spans="1:13" s="34" customFormat="1">
      <c r="A1399" s="73"/>
      <c r="B1399" s="3"/>
      <c r="C1399" s="3"/>
      <c r="D1399" s="3"/>
      <c r="E1399" s="3"/>
      <c r="F1399" s="3"/>
      <c r="G1399" s="3"/>
      <c r="H1399" s="3"/>
      <c r="I1399" s="3"/>
      <c r="J1399" s="3"/>
      <c r="K1399" s="3"/>
      <c r="L1399" s="3"/>
      <c r="M1399" s="3"/>
    </row>
    <row r="1400" spans="1:13" s="34" customFormat="1">
      <c r="A1400" s="73"/>
      <c r="B1400" s="3"/>
      <c r="C1400" s="3"/>
      <c r="D1400" s="3"/>
      <c r="E1400" s="3"/>
      <c r="F1400" s="3"/>
      <c r="G1400" s="3"/>
      <c r="H1400" s="3"/>
      <c r="I1400" s="3"/>
      <c r="J1400" s="3"/>
      <c r="K1400" s="3"/>
      <c r="L1400" s="3"/>
      <c r="M1400" s="3"/>
    </row>
    <row r="1401" spans="1:13" s="34" customFormat="1">
      <c r="A1401" s="73"/>
      <c r="B1401" s="3"/>
      <c r="C1401" s="3"/>
      <c r="D1401" s="3"/>
      <c r="E1401" s="3"/>
      <c r="F1401" s="3"/>
      <c r="G1401" s="3"/>
      <c r="H1401" s="3"/>
      <c r="I1401" s="3"/>
      <c r="J1401" s="3"/>
      <c r="K1401" s="3"/>
      <c r="L1401" s="3"/>
      <c r="M1401" s="3"/>
    </row>
    <row r="1402" spans="1:13" s="34" customFormat="1">
      <c r="A1402" s="73"/>
      <c r="B1402" s="3"/>
      <c r="C1402" s="3"/>
      <c r="D1402" s="3"/>
      <c r="E1402" s="3"/>
      <c r="F1402" s="3"/>
      <c r="G1402" s="3"/>
      <c r="H1402" s="3"/>
      <c r="I1402" s="3"/>
      <c r="J1402" s="3"/>
      <c r="K1402" s="3"/>
      <c r="L1402" s="3"/>
      <c r="M1402" s="3"/>
    </row>
    <row r="1403" spans="1:13" s="34" customFormat="1">
      <c r="A1403" s="73"/>
      <c r="B1403" s="3"/>
      <c r="C1403" s="3"/>
      <c r="D1403" s="3"/>
      <c r="E1403" s="3"/>
      <c r="F1403" s="3"/>
      <c r="G1403" s="3"/>
      <c r="H1403" s="3"/>
      <c r="I1403" s="3"/>
      <c r="J1403" s="3"/>
      <c r="K1403" s="3"/>
      <c r="L1403" s="3"/>
      <c r="M1403" s="3"/>
    </row>
    <row r="1404" spans="1:13" s="34" customFormat="1">
      <c r="A1404" s="73"/>
      <c r="B1404" s="3"/>
      <c r="C1404" s="3"/>
      <c r="D1404" s="3"/>
      <c r="E1404" s="3"/>
      <c r="F1404" s="3"/>
      <c r="G1404" s="3"/>
      <c r="H1404" s="3"/>
      <c r="I1404" s="3"/>
      <c r="J1404" s="3"/>
      <c r="K1404" s="3"/>
      <c r="L1404" s="3"/>
      <c r="M1404" s="3"/>
    </row>
    <row r="1405" spans="1:13" s="34" customFormat="1">
      <c r="A1405" s="73"/>
      <c r="B1405" s="3"/>
      <c r="C1405" s="3"/>
      <c r="D1405" s="3"/>
      <c r="E1405" s="3"/>
      <c r="F1405" s="3"/>
      <c r="G1405" s="3"/>
      <c r="H1405" s="3"/>
      <c r="I1405" s="3"/>
      <c r="J1405" s="3"/>
      <c r="K1405" s="3"/>
      <c r="L1405" s="3"/>
      <c r="M1405" s="3"/>
    </row>
    <row r="1406" spans="1:13" s="34" customFormat="1">
      <c r="A1406" s="73"/>
      <c r="B1406" s="3"/>
      <c r="C1406" s="3"/>
      <c r="D1406" s="3"/>
      <c r="E1406" s="3"/>
      <c r="F1406" s="3"/>
      <c r="G1406" s="3"/>
      <c r="H1406" s="3"/>
      <c r="I1406" s="3"/>
      <c r="J1406" s="3"/>
      <c r="K1406" s="3"/>
      <c r="L1406" s="3"/>
      <c r="M1406" s="3"/>
    </row>
    <row r="1407" spans="1:13" s="34" customFormat="1">
      <c r="A1407" s="73"/>
      <c r="B1407" s="3"/>
      <c r="C1407" s="3"/>
      <c r="D1407" s="3"/>
      <c r="E1407" s="3"/>
      <c r="F1407" s="3"/>
      <c r="G1407" s="3"/>
      <c r="H1407" s="3"/>
      <c r="I1407" s="3"/>
      <c r="J1407" s="3"/>
      <c r="K1407" s="3"/>
      <c r="L1407" s="3"/>
      <c r="M1407" s="3"/>
    </row>
    <row r="1408" spans="1:13" s="34" customFormat="1">
      <c r="A1408" s="73"/>
      <c r="B1408" s="3"/>
      <c r="C1408" s="3"/>
      <c r="D1408" s="3"/>
      <c r="E1408" s="3"/>
      <c r="F1408" s="3"/>
      <c r="G1408" s="3"/>
      <c r="H1408" s="3"/>
      <c r="I1408" s="3"/>
      <c r="J1408" s="3"/>
      <c r="K1408" s="3"/>
      <c r="L1408" s="3"/>
      <c r="M1408" s="3"/>
    </row>
    <row r="1409" spans="1:13" s="34" customFormat="1">
      <c r="A1409" s="73"/>
      <c r="B1409" s="3"/>
      <c r="C1409" s="3"/>
      <c r="D1409" s="3"/>
      <c r="E1409" s="3"/>
      <c r="F1409" s="3"/>
      <c r="G1409" s="3"/>
      <c r="H1409" s="3"/>
      <c r="I1409" s="3"/>
      <c r="J1409" s="3"/>
      <c r="K1409" s="3"/>
      <c r="L1409" s="3"/>
      <c r="M1409" s="3"/>
    </row>
    <row r="1410" spans="1:13" s="34" customFormat="1">
      <c r="A1410" s="73"/>
      <c r="B1410" s="3"/>
      <c r="C1410" s="3"/>
      <c r="D1410" s="3"/>
      <c r="E1410" s="3"/>
      <c r="F1410" s="3"/>
      <c r="G1410" s="3"/>
      <c r="H1410" s="3"/>
      <c r="I1410" s="3"/>
      <c r="J1410" s="3"/>
      <c r="K1410" s="3"/>
      <c r="L1410" s="3"/>
      <c r="M1410" s="3"/>
    </row>
    <row r="1411" spans="1:13" s="34" customFormat="1">
      <c r="A1411" s="73"/>
      <c r="B1411" s="3"/>
      <c r="C1411" s="3"/>
      <c r="D1411" s="3"/>
      <c r="E1411" s="3"/>
      <c r="F1411" s="3"/>
      <c r="G1411" s="3"/>
      <c r="H1411" s="3"/>
      <c r="I1411" s="3"/>
      <c r="J1411" s="3"/>
      <c r="K1411" s="3"/>
      <c r="L1411" s="3"/>
      <c r="M1411" s="3"/>
    </row>
    <row r="1412" spans="1:13" s="34" customFormat="1">
      <c r="A1412" s="73"/>
      <c r="B1412" s="3"/>
      <c r="C1412" s="3"/>
      <c r="D1412" s="3"/>
      <c r="E1412" s="3"/>
      <c r="F1412" s="3"/>
      <c r="G1412" s="3"/>
      <c r="H1412" s="3"/>
      <c r="I1412" s="3"/>
      <c r="J1412" s="3"/>
      <c r="K1412" s="3"/>
      <c r="L1412" s="3"/>
      <c r="M1412" s="3"/>
    </row>
    <row r="1413" spans="1:13" s="34" customFormat="1">
      <c r="A1413" s="73"/>
      <c r="B1413" s="3"/>
      <c r="C1413" s="3"/>
      <c r="D1413" s="3"/>
      <c r="E1413" s="3"/>
      <c r="F1413" s="3"/>
      <c r="G1413" s="3"/>
      <c r="H1413" s="3"/>
      <c r="I1413" s="3"/>
      <c r="J1413" s="3"/>
      <c r="K1413" s="3"/>
      <c r="L1413" s="3"/>
      <c r="M1413" s="3"/>
    </row>
    <row r="1414" spans="1:13" s="34" customFormat="1">
      <c r="A1414" s="73"/>
      <c r="B1414" s="3"/>
      <c r="C1414" s="3"/>
      <c r="D1414" s="3"/>
      <c r="E1414" s="3"/>
      <c r="F1414" s="3"/>
      <c r="G1414" s="3"/>
      <c r="H1414" s="3"/>
      <c r="I1414" s="3"/>
      <c r="J1414" s="3"/>
      <c r="K1414" s="3"/>
      <c r="L1414" s="3"/>
      <c r="M1414" s="3"/>
    </row>
    <row r="1415" spans="1:13" s="34" customFormat="1">
      <c r="A1415" s="73"/>
      <c r="B1415" s="3"/>
      <c r="C1415" s="3"/>
      <c r="D1415" s="3"/>
      <c r="E1415" s="3"/>
      <c r="F1415" s="3"/>
      <c r="G1415" s="3"/>
      <c r="H1415" s="3"/>
      <c r="I1415" s="3"/>
      <c r="J1415" s="3"/>
      <c r="K1415" s="3"/>
      <c r="L1415" s="3"/>
      <c r="M1415" s="3"/>
    </row>
    <row r="1416" spans="1:13" s="34" customFormat="1">
      <c r="A1416" s="73"/>
      <c r="B1416" s="3"/>
      <c r="C1416" s="3"/>
      <c r="D1416" s="3"/>
      <c r="E1416" s="3"/>
      <c r="F1416" s="3"/>
      <c r="G1416" s="3"/>
      <c r="H1416" s="3"/>
      <c r="I1416" s="3"/>
      <c r="J1416" s="3"/>
      <c r="K1416" s="3"/>
      <c r="L1416" s="3"/>
      <c r="M1416" s="3"/>
    </row>
    <row r="1417" spans="1:13" s="34" customFormat="1">
      <c r="A1417" s="73"/>
      <c r="B1417" s="3"/>
      <c r="C1417" s="3"/>
      <c r="D1417" s="3"/>
      <c r="E1417" s="3"/>
      <c r="F1417" s="3"/>
      <c r="G1417" s="3"/>
      <c r="H1417" s="3"/>
      <c r="I1417" s="3"/>
      <c r="J1417" s="3"/>
      <c r="K1417" s="3"/>
      <c r="L1417" s="3"/>
      <c r="M1417" s="3"/>
    </row>
    <row r="1418" spans="1:13" s="34" customFormat="1">
      <c r="A1418" s="73"/>
      <c r="B1418" s="3"/>
      <c r="C1418" s="3"/>
      <c r="D1418" s="3"/>
      <c r="E1418" s="3"/>
      <c r="F1418" s="3"/>
      <c r="G1418" s="3"/>
      <c r="H1418" s="3"/>
      <c r="I1418" s="3"/>
      <c r="J1418" s="3"/>
      <c r="K1418" s="3"/>
      <c r="L1418" s="3"/>
      <c r="M1418" s="3"/>
    </row>
    <row r="1419" spans="1:13" s="34" customFormat="1">
      <c r="A1419" s="73"/>
      <c r="B1419" s="3"/>
      <c r="C1419" s="3"/>
      <c r="D1419" s="3"/>
      <c r="E1419" s="3"/>
      <c r="F1419" s="3"/>
      <c r="G1419" s="3"/>
      <c r="H1419" s="3"/>
      <c r="I1419" s="3"/>
      <c r="J1419" s="3"/>
      <c r="K1419" s="3"/>
      <c r="L1419" s="3"/>
      <c r="M1419" s="3"/>
    </row>
    <row r="1420" spans="1:13" s="34" customFormat="1">
      <c r="A1420" s="73"/>
      <c r="B1420" s="3"/>
      <c r="C1420" s="3"/>
      <c r="D1420" s="3"/>
      <c r="E1420" s="3"/>
      <c r="F1420" s="3"/>
      <c r="G1420" s="3"/>
      <c r="H1420" s="3"/>
      <c r="I1420" s="3"/>
      <c r="J1420" s="3"/>
      <c r="K1420" s="3"/>
      <c r="L1420" s="3"/>
      <c r="M1420" s="3"/>
    </row>
    <row r="1421" spans="1:13" s="34" customFormat="1">
      <c r="A1421" s="73"/>
      <c r="B1421" s="3"/>
      <c r="C1421" s="3"/>
      <c r="D1421" s="3"/>
      <c r="E1421" s="3"/>
      <c r="F1421" s="3"/>
      <c r="G1421" s="3"/>
      <c r="H1421" s="3"/>
      <c r="I1421" s="3"/>
      <c r="J1421" s="3"/>
      <c r="K1421" s="3"/>
      <c r="L1421" s="3"/>
      <c r="M1421" s="3"/>
    </row>
    <row r="1422" spans="1:13" s="34" customFormat="1">
      <c r="A1422" s="73"/>
      <c r="B1422" s="3"/>
      <c r="C1422" s="3"/>
      <c r="D1422" s="3"/>
      <c r="E1422" s="3"/>
      <c r="F1422" s="3"/>
      <c r="G1422" s="3"/>
      <c r="H1422" s="3"/>
      <c r="I1422" s="3"/>
      <c r="J1422" s="3"/>
      <c r="K1422" s="3"/>
      <c r="L1422" s="3"/>
      <c r="M1422" s="3"/>
    </row>
    <row r="1423" spans="1:13" s="34" customFormat="1">
      <c r="A1423" s="73"/>
      <c r="B1423" s="3"/>
      <c r="C1423" s="3"/>
      <c r="D1423" s="3"/>
      <c r="E1423" s="3"/>
      <c r="F1423" s="3"/>
      <c r="G1423" s="3"/>
      <c r="H1423" s="3"/>
      <c r="I1423" s="3"/>
      <c r="J1423" s="3"/>
      <c r="K1423" s="3"/>
      <c r="L1423" s="3"/>
      <c r="M1423" s="3"/>
    </row>
    <row r="1424" spans="1:13" s="34" customFormat="1">
      <c r="A1424" s="73"/>
      <c r="B1424" s="3"/>
      <c r="C1424" s="3"/>
      <c r="D1424" s="3"/>
      <c r="E1424" s="3"/>
      <c r="F1424" s="3"/>
      <c r="G1424" s="3"/>
      <c r="H1424" s="3"/>
      <c r="I1424" s="3"/>
      <c r="J1424" s="3"/>
      <c r="K1424" s="3"/>
      <c r="L1424" s="3"/>
      <c r="M1424" s="3"/>
    </row>
    <row r="1425" spans="1:13" s="34" customFormat="1">
      <c r="A1425" s="73"/>
      <c r="B1425" s="3"/>
      <c r="C1425" s="3"/>
      <c r="D1425" s="3"/>
      <c r="E1425" s="3"/>
      <c r="F1425" s="3"/>
      <c r="G1425" s="3"/>
      <c r="H1425" s="3"/>
      <c r="I1425" s="3"/>
      <c r="J1425" s="3"/>
      <c r="K1425" s="3"/>
      <c r="L1425" s="3"/>
      <c r="M1425" s="3"/>
    </row>
    <row r="1426" spans="1:13" s="34" customFormat="1">
      <c r="A1426" s="73"/>
      <c r="B1426" s="3"/>
      <c r="C1426" s="3"/>
      <c r="D1426" s="3"/>
      <c r="E1426" s="3"/>
      <c r="F1426" s="3"/>
      <c r="G1426" s="3"/>
      <c r="H1426" s="3"/>
      <c r="I1426" s="3"/>
      <c r="J1426" s="3"/>
      <c r="K1426" s="3"/>
      <c r="L1426" s="3"/>
      <c r="M1426" s="3"/>
    </row>
    <row r="1427" spans="1:13" s="34" customFormat="1">
      <c r="A1427" s="73"/>
      <c r="B1427" s="3"/>
      <c r="C1427" s="3"/>
      <c r="D1427" s="3"/>
      <c r="E1427" s="3"/>
      <c r="F1427" s="3"/>
      <c r="G1427" s="3"/>
      <c r="H1427" s="3"/>
      <c r="I1427" s="3"/>
      <c r="J1427" s="3"/>
      <c r="K1427" s="3"/>
      <c r="L1427" s="3"/>
      <c r="M1427" s="3"/>
    </row>
    <row r="1428" spans="1:13" s="34" customFormat="1">
      <c r="A1428" s="73"/>
      <c r="B1428" s="3"/>
      <c r="C1428" s="3"/>
      <c r="D1428" s="3"/>
      <c r="E1428" s="3"/>
      <c r="F1428" s="3"/>
      <c r="G1428" s="3"/>
      <c r="H1428" s="3"/>
      <c r="I1428" s="3"/>
      <c r="J1428" s="3"/>
      <c r="K1428" s="3"/>
      <c r="L1428" s="3"/>
      <c r="M1428" s="3"/>
    </row>
    <row r="1429" spans="1:13" s="34" customFormat="1">
      <c r="A1429" s="73"/>
      <c r="B1429" s="3"/>
      <c r="C1429" s="3"/>
      <c r="D1429" s="3"/>
      <c r="E1429" s="3"/>
      <c r="F1429" s="3"/>
      <c r="G1429" s="3"/>
      <c r="H1429" s="3"/>
      <c r="I1429" s="3"/>
      <c r="J1429" s="3"/>
      <c r="K1429" s="3"/>
      <c r="L1429" s="3"/>
      <c r="M1429" s="3"/>
    </row>
    <row r="1430" spans="1:13" s="34" customFormat="1">
      <c r="A1430" s="73"/>
      <c r="B1430" s="3"/>
      <c r="C1430" s="3"/>
      <c r="D1430" s="3"/>
      <c r="E1430" s="3"/>
      <c r="F1430" s="3"/>
      <c r="G1430" s="3"/>
      <c r="H1430" s="3"/>
      <c r="I1430" s="3"/>
      <c r="J1430" s="3"/>
      <c r="K1430" s="3"/>
      <c r="L1430" s="3"/>
      <c r="M1430" s="3"/>
    </row>
    <row r="1431" spans="1:13" s="34" customFormat="1">
      <c r="A1431" s="73"/>
      <c r="B1431" s="3"/>
      <c r="C1431" s="3"/>
      <c r="D1431" s="3"/>
      <c r="E1431" s="3"/>
      <c r="F1431" s="3"/>
      <c r="G1431" s="3"/>
      <c r="H1431" s="3"/>
      <c r="I1431" s="3"/>
      <c r="J1431" s="3"/>
      <c r="K1431" s="3"/>
      <c r="L1431" s="3"/>
      <c r="M1431" s="3"/>
    </row>
    <row r="1432" spans="1:13" s="34" customFormat="1">
      <c r="A1432" s="73"/>
      <c r="B1432" s="3"/>
      <c r="C1432" s="3"/>
      <c r="D1432" s="3"/>
      <c r="E1432" s="3"/>
      <c r="F1432" s="3"/>
      <c r="G1432" s="3"/>
      <c r="H1432" s="3"/>
      <c r="I1432" s="3"/>
      <c r="J1432" s="3"/>
      <c r="K1432" s="3"/>
      <c r="L1432" s="3"/>
      <c r="M1432" s="3"/>
    </row>
    <row r="1433" spans="1:13" s="34" customFormat="1">
      <c r="A1433" s="73"/>
      <c r="B1433" s="3"/>
      <c r="C1433" s="3"/>
      <c r="D1433" s="3"/>
      <c r="E1433" s="3"/>
      <c r="F1433" s="3"/>
      <c r="G1433" s="3"/>
      <c r="H1433" s="3"/>
      <c r="I1433" s="3"/>
      <c r="J1433" s="3"/>
      <c r="K1433" s="3"/>
      <c r="L1433" s="3"/>
      <c r="M1433" s="3"/>
    </row>
    <row r="1434" spans="1:13" s="34" customFormat="1">
      <c r="A1434" s="73"/>
      <c r="B1434" s="3"/>
      <c r="C1434" s="3"/>
      <c r="D1434" s="3"/>
      <c r="E1434" s="3"/>
      <c r="F1434" s="3"/>
      <c r="G1434" s="3"/>
      <c r="H1434" s="3"/>
      <c r="I1434" s="3"/>
      <c r="J1434" s="3"/>
      <c r="K1434" s="3"/>
      <c r="L1434" s="3"/>
      <c r="M1434" s="3"/>
    </row>
    <row r="1435" spans="1:13" s="34" customFormat="1">
      <c r="A1435" s="73"/>
      <c r="B1435" s="3"/>
      <c r="C1435" s="3"/>
      <c r="D1435" s="3"/>
      <c r="E1435" s="3"/>
      <c r="F1435" s="3"/>
      <c r="G1435" s="3"/>
      <c r="H1435" s="3"/>
      <c r="I1435" s="3"/>
      <c r="J1435" s="3"/>
      <c r="K1435" s="3"/>
      <c r="L1435" s="3"/>
      <c r="M1435" s="3"/>
    </row>
    <row r="1436" spans="1:13" s="34" customFormat="1">
      <c r="A1436" s="73"/>
      <c r="B1436" s="3"/>
      <c r="C1436" s="3"/>
      <c r="D1436" s="3"/>
      <c r="E1436" s="3"/>
      <c r="F1436" s="3"/>
      <c r="G1436" s="3"/>
      <c r="H1436" s="3"/>
      <c r="I1436" s="3"/>
      <c r="J1436" s="3"/>
      <c r="K1436" s="3"/>
      <c r="L1436" s="3"/>
      <c r="M1436" s="3"/>
    </row>
    <row r="1437" spans="1:13" s="34" customFormat="1">
      <c r="A1437" s="73"/>
      <c r="B1437" s="3"/>
      <c r="C1437" s="3"/>
      <c r="D1437" s="3"/>
      <c r="E1437" s="3"/>
      <c r="F1437" s="3"/>
      <c r="G1437" s="3"/>
      <c r="H1437" s="3"/>
      <c r="I1437" s="3"/>
      <c r="J1437" s="3"/>
      <c r="K1437" s="3"/>
      <c r="L1437" s="3"/>
      <c r="M1437" s="3"/>
    </row>
    <row r="1438" spans="1:13" s="34" customFormat="1">
      <c r="A1438" s="73"/>
      <c r="B1438" s="3"/>
      <c r="C1438" s="3"/>
      <c r="D1438" s="3"/>
      <c r="E1438" s="3"/>
      <c r="F1438" s="3"/>
      <c r="G1438" s="3"/>
      <c r="H1438" s="3"/>
      <c r="I1438" s="3"/>
      <c r="J1438" s="3"/>
      <c r="K1438" s="3"/>
      <c r="L1438" s="3"/>
      <c r="M1438" s="3"/>
    </row>
    <row r="1439" spans="1:13" s="34" customFormat="1">
      <c r="A1439" s="73"/>
      <c r="B1439" s="3"/>
      <c r="C1439" s="3"/>
      <c r="D1439" s="3"/>
      <c r="E1439" s="3"/>
      <c r="F1439" s="3"/>
      <c r="G1439" s="3"/>
      <c r="H1439" s="3"/>
      <c r="I1439" s="3"/>
      <c r="J1439" s="3"/>
      <c r="K1439" s="3"/>
      <c r="L1439" s="3"/>
      <c r="M1439" s="3"/>
    </row>
    <row r="1440" spans="1:13" s="34" customFormat="1">
      <c r="A1440" s="73"/>
      <c r="B1440" s="3"/>
      <c r="C1440" s="3"/>
      <c r="D1440" s="3"/>
      <c r="E1440" s="3"/>
      <c r="F1440" s="3"/>
      <c r="G1440" s="3"/>
      <c r="H1440" s="3"/>
      <c r="I1440" s="3"/>
      <c r="J1440" s="3"/>
      <c r="K1440" s="3"/>
      <c r="L1440" s="3"/>
      <c r="M1440" s="3"/>
    </row>
    <row r="1441" spans="1:13" s="34" customFormat="1">
      <c r="A1441" s="73"/>
      <c r="B1441" s="3"/>
      <c r="C1441" s="3"/>
      <c r="D1441" s="3"/>
      <c r="E1441" s="3"/>
      <c r="F1441" s="3"/>
      <c r="G1441" s="3"/>
      <c r="H1441" s="3"/>
      <c r="I1441" s="3"/>
      <c r="J1441" s="3"/>
      <c r="K1441" s="3"/>
      <c r="L1441" s="3"/>
      <c r="M1441" s="3"/>
    </row>
    <row r="1442" spans="1:13" s="34" customFormat="1">
      <c r="A1442" s="73"/>
      <c r="B1442" s="3"/>
      <c r="C1442" s="3"/>
      <c r="D1442" s="3"/>
      <c r="E1442" s="3"/>
      <c r="F1442" s="3"/>
      <c r="G1442" s="3"/>
      <c r="H1442" s="3"/>
      <c r="I1442" s="3"/>
      <c r="J1442" s="3"/>
      <c r="K1442" s="3"/>
      <c r="L1442" s="3"/>
      <c r="M1442" s="3"/>
    </row>
    <row r="1443" spans="1:13" s="34" customFormat="1">
      <c r="A1443" s="73"/>
      <c r="B1443" s="3"/>
      <c r="C1443" s="3"/>
      <c r="D1443" s="3"/>
      <c r="E1443" s="3"/>
      <c r="F1443" s="3"/>
      <c r="G1443" s="3"/>
      <c r="H1443" s="3"/>
      <c r="I1443" s="3"/>
      <c r="J1443" s="3"/>
      <c r="K1443" s="3"/>
      <c r="L1443" s="3"/>
      <c r="M1443" s="3"/>
    </row>
    <row r="1444" spans="1:13" s="34" customFormat="1">
      <c r="A1444" s="73"/>
      <c r="B1444" s="3"/>
      <c r="C1444" s="3"/>
      <c r="D1444" s="3"/>
      <c r="E1444" s="3"/>
      <c r="F1444" s="3"/>
      <c r="G1444" s="3"/>
      <c r="H1444" s="3"/>
      <c r="I1444" s="3"/>
      <c r="J1444" s="3"/>
      <c r="K1444" s="3"/>
      <c r="L1444" s="3"/>
      <c r="M1444" s="3"/>
    </row>
    <row r="1445" spans="1:13" s="34" customFormat="1">
      <c r="A1445" s="73"/>
      <c r="B1445" s="3"/>
      <c r="C1445" s="3"/>
      <c r="D1445" s="3"/>
      <c r="E1445" s="3"/>
      <c r="F1445" s="3"/>
      <c r="G1445" s="3"/>
      <c r="H1445" s="3"/>
      <c r="I1445" s="3"/>
      <c r="J1445" s="3"/>
      <c r="K1445" s="3"/>
      <c r="L1445" s="3"/>
      <c r="M1445" s="3"/>
    </row>
    <row r="1446" spans="1:13" s="34" customFormat="1">
      <c r="A1446" s="73"/>
      <c r="B1446" s="3"/>
      <c r="C1446" s="3"/>
      <c r="D1446" s="3"/>
      <c r="E1446" s="3"/>
      <c r="F1446" s="3"/>
      <c r="G1446" s="3"/>
      <c r="H1446" s="3"/>
      <c r="I1446" s="3"/>
      <c r="J1446" s="3"/>
      <c r="K1446" s="3"/>
      <c r="L1446" s="3"/>
      <c r="M1446" s="3"/>
    </row>
    <row r="1447" spans="1:13" s="34" customFormat="1">
      <c r="A1447" s="73"/>
      <c r="B1447" s="3"/>
      <c r="C1447" s="3"/>
      <c r="D1447" s="3"/>
      <c r="E1447" s="3"/>
      <c r="F1447" s="3"/>
      <c r="G1447" s="3"/>
      <c r="H1447" s="3"/>
      <c r="I1447" s="3"/>
      <c r="J1447" s="3"/>
      <c r="K1447" s="3"/>
      <c r="L1447" s="3"/>
      <c r="M1447" s="3"/>
    </row>
    <row r="1448" spans="1:13" s="34" customFormat="1">
      <c r="A1448" s="73"/>
      <c r="B1448" s="3"/>
      <c r="C1448" s="3"/>
      <c r="D1448" s="3"/>
      <c r="E1448" s="3"/>
      <c r="F1448" s="3"/>
      <c r="G1448" s="3"/>
      <c r="H1448" s="3"/>
      <c r="I1448" s="3"/>
      <c r="J1448" s="3"/>
      <c r="K1448" s="3"/>
      <c r="L1448" s="3"/>
      <c r="M1448" s="3"/>
    </row>
    <row r="1449" spans="1:13" s="34" customFormat="1">
      <c r="A1449" s="73"/>
      <c r="B1449" s="3"/>
      <c r="C1449" s="3"/>
      <c r="D1449" s="3"/>
      <c r="E1449" s="3"/>
      <c r="F1449" s="3"/>
      <c r="G1449" s="3"/>
      <c r="H1449" s="3"/>
      <c r="I1449" s="3"/>
      <c r="J1449" s="3"/>
      <c r="K1449" s="3"/>
      <c r="L1449" s="3"/>
      <c r="M1449" s="3"/>
    </row>
    <row r="1450" spans="1:13" s="34" customFormat="1">
      <c r="A1450" s="73"/>
      <c r="B1450" s="3"/>
      <c r="C1450" s="3"/>
      <c r="D1450" s="3"/>
      <c r="E1450" s="3"/>
      <c r="F1450" s="3"/>
      <c r="G1450" s="3"/>
      <c r="H1450" s="3"/>
      <c r="I1450" s="3"/>
      <c r="J1450" s="3"/>
      <c r="K1450" s="3"/>
      <c r="L1450" s="3"/>
      <c r="M1450" s="3"/>
    </row>
    <row r="1451" spans="1:13" s="34" customFormat="1">
      <c r="A1451" s="73"/>
      <c r="B1451" s="3"/>
      <c r="C1451" s="3"/>
      <c r="D1451" s="3"/>
      <c r="E1451" s="3"/>
      <c r="F1451" s="3"/>
      <c r="G1451" s="3"/>
      <c r="H1451" s="3"/>
      <c r="I1451" s="3"/>
      <c r="J1451" s="3"/>
      <c r="K1451" s="3"/>
      <c r="L1451" s="3"/>
      <c r="M1451" s="3"/>
    </row>
    <row r="1452" spans="1:13" s="34" customFormat="1">
      <c r="A1452" s="73"/>
      <c r="B1452" s="3"/>
      <c r="C1452" s="3"/>
      <c r="D1452" s="3"/>
      <c r="E1452" s="3"/>
      <c r="F1452" s="3"/>
      <c r="G1452" s="3"/>
      <c r="H1452" s="3"/>
      <c r="I1452" s="3"/>
      <c r="J1452" s="3"/>
      <c r="K1452" s="3"/>
      <c r="L1452" s="3"/>
      <c r="M1452" s="3"/>
    </row>
    <row r="1453" spans="1:13" s="34" customFormat="1">
      <c r="A1453" s="73"/>
      <c r="B1453" s="3"/>
      <c r="C1453" s="3"/>
      <c r="D1453" s="3"/>
      <c r="E1453" s="3"/>
      <c r="F1453" s="3"/>
      <c r="G1453" s="3"/>
      <c r="H1453" s="3"/>
      <c r="I1453" s="3"/>
      <c r="J1453" s="3"/>
      <c r="K1453" s="3"/>
      <c r="L1453" s="3"/>
      <c r="M1453" s="3"/>
    </row>
    <row r="1454" spans="1:13" s="34" customFormat="1">
      <c r="A1454" s="73"/>
      <c r="B1454" s="3"/>
      <c r="C1454" s="3"/>
      <c r="D1454" s="3"/>
      <c r="E1454" s="3"/>
      <c r="F1454" s="3"/>
      <c r="G1454" s="3"/>
      <c r="H1454" s="3"/>
      <c r="I1454" s="3"/>
      <c r="J1454" s="3"/>
      <c r="K1454" s="3"/>
      <c r="L1454" s="3"/>
      <c r="M1454" s="3"/>
    </row>
    <row r="1455" spans="1:13" s="34" customFormat="1">
      <c r="A1455" s="73"/>
      <c r="B1455" s="3"/>
      <c r="C1455" s="3"/>
      <c r="D1455" s="3"/>
      <c r="E1455" s="3"/>
      <c r="F1455" s="3"/>
      <c r="G1455" s="3"/>
      <c r="H1455" s="3"/>
      <c r="I1455" s="3"/>
      <c r="J1455" s="3"/>
      <c r="K1455" s="3"/>
      <c r="L1455" s="3"/>
      <c r="M1455" s="3"/>
    </row>
    <row r="1456" spans="1:13" s="34" customFormat="1">
      <c r="A1456" s="73"/>
      <c r="B1456" s="3"/>
      <c r="C1456" s="3"/>
      <c r="D1456" s="3"/>
      <c r="E1456" s="3"/>
      <c r="F1456" s="3"/>
      <c r="G1456" s="3"/>
      <c r="H1456" s="3"/>
      <c r="I1456" s="3"/>
      <c r="J1456" s="3"/>
      <c r="K1456" s="3"/>
      <c r="L1456" s="3"/>
      <c r="M1456" s="3"/>
    </row>
    <row r="1457" spans="1:13" s="34" customFormat="1">
      <c r="A1457" s="73"/>
      <c r="B1457" s="3"/>
      <c r="C1457" s="3"/>
      <c r="D1457" s="3"/>
      <c r="E1457" s="3"/>
      <c r="F1457" s="3"/>
      <c r="G1457" s="3"/>
      <c r="H1457" s="3"/>
      <c r="I1457" s="3"/>
      <c r="J1457" s="3"/>
      <c r="K1457" s="3"/>
      <c r="L1457" s="3"/>
      <c r="M1457" s="3"/>
    </row>
    <row r="1458" spans="1:13" s="34" customFormat="1">
      <c r="A1458" s="73"/>
      <c r="B1458" s="3"/>
      <c r="C1458" s="3"/>
      <c r="D1458" s="3"/>
      <c r="E1458" s="3"/>
      <c r="F1458" s="3"/>
      <c r="G1458" s="3"/>
      <c r="H1458" s="3"/>
      <c r="I1458" s="3"/>
      <c r="J1458" s="3"/>
      <c r="K1458" s="3"/>
      <c r="L1458" s="3"/>
      <c r="M1458" s="3"/>
    </row>
    <row r="1459" spans="1:13" s="34" customFormat="1">
      <c r="A1459" s="73"/>
      <c r="B1459" s="3"/>
      <c r="C1459" s="3"/>
      <c r="D1459" s="3"/>
      <c r="E1459" s="3"/>
      <c r="F1459" s="3"/>
      <c r="G1459" s="3"/>
      <c r="H1459" s="3"/>
      <c r="I1459" s="3"/>
      <c r="J1459" s="3"/>
      <c r="K1459" s="3"/>
      <c r="L1459" s="3"/>
      <c r="M1459" s="3"/>
    </row>
    <row r="1460" spans="1:13" s="34" customFormat="1">
      <c r="A1460" s="73"/>
      <c r="B1460" s="3"/>
      <c r="C1460" s="3"/>
      <c r="D1460" s="3"/>
      <c r="E1460" s="3"/>
      <c r="F1460" s="3"/>
      <c r="G1460" s="3"/>
      <c r="H1460" s="3"/>
      <c r="I1460" s="3"/>
      <c r="J1460" s="3"/>
      <c r="K1460" s="3"/>
      <c r="L1460" s="3"/>
      <c r="M1460" s="3"/>
    </row>
    <row r="1461" spans="1:13" s="34" customFormat="1">
      <c r="A1461" s="73"/>
      <c r="B1461" s="3"/>
      <c r="C1461" s="3"/>
      <c r="D1461" s="3"/>
      <c r="E1461" s="3"/>
      <c r="F1461" s="3"/>
      <c r="G1461" s="3"/>
      <c r="H1461" s="3"/>
      <c r="I1461" s="3"/>
      <c r="J1461" s="3"/>
      <c r="K1461" s="3"/>
      <c r="L1461" s="3"/>
      <c r="M1461" s="3"/>
    </row>
    <row r="1462" spans="1:13" s="34" customFormat="1">
      <c r="A1462" s="73"/>
      <c r="B1462" s="3"/>
      <c r="C1462" s="3"/>
      <c r="D1462" s="3"/>
      <c r="E1462" s="3"/>
      <c r="F1462" s="3"/>
      <c r="G1462" s="3"/>
      <c r="H1462" s="3"/>
      <c r="I1462" s="3"/>
      <c r="J1462" s="3"/>
      <c r="K1462" s="3"/>
      <c r="L1462" s="3"/>
      <c r="M1462" s="3"/>
    </row>
    <row r="1463" spans="1:13" s="34" customFormat="1">
      <c r="A1463" s="73"/>
      <c r="B1463" s="3"/>
      <c r="C1463" s="3"/>
      <c r="D1463" s="3"/>
      <c r="E1463" s="3"/>
      <c r="F1463" s="3"/>
      <c r="G1463" s="3"/>
      <c r="H1463" s="3"/>
      <c r="I1463" s="3"/>
      <c r="J1463" s="3"/>
      <c r="K1463" s="3"/>
      <c r="L1463" s="3"/>
      <c r="M1463" s="3"/>
    </row>
    <row r="1464" spans="1:13" s="34" customFormat="1">
      <c r="A1464" s="73"/>
      <c r="B1464" s="3"/>
      <c r="C1464" s="3"/>
      <c r="D1464" s="3"/>
      <c r="E1464" s="3"/>
      <c r="F1464" s="3"/>
      <c r="G1464" s="3"/>
      <c r="H1464" s="3"/>
      <c r="I1464" s="3"/>
      <c r="J1464" s="3"/>
      <c r="K1464" s="3"/>
      <c r="L1464" s="3"/>
      <c r="M1464" s="3"/>
    </row>
    <row r="1465" spans="1:13" s="34" customFormat="1">
      <c r="A1465" s="73"/>
      <c r="B1465" s="3"/>
      <c r="C1465" s="3"/>
      <c r="D1465" s="3"/>
      <c r="E1465" s="3"/>
      <c r="F1465" s="3"/>
      <c r="G1465" s="3"/>
      <c r="H1465" s="3"/>
      <c r="I1465" s="3"/>
      <c r="J1465" s="3"/>
      <c r="K1465" s="3"/>
      <c r="L1465" s="3"/>
      <c r="M1465" s="3"/>
    </row>
    <row r="1466" spans="1:13" s="34" customFormat="1">
      <c r="A1466" s="73"/>
      <c r="B1466" s="3"/>
      <c r="C1466" s="3"/>
      <c r="D1466" s="3"/>
      <c r="E1466" s="3"/>
      <c r="F1466" s="3"/>
      <c r="G1466" s="3"/>
      <c r="H1466" s="3"/>
      <c r="I1466" s="3"/>
      <c r="J1466" s="3"/>
      <c r="K1466" s="3"/>
      <c r="L1466" s="3"/>
      <c r="M1466" s="3"/>
    </row>
    <row r="1467" spans="1:13" s="34" customFormat="1">
      <c r="A1467" s="73"/>
      <c r="B1467" s="3"/>
      <c r="C1467" s="3"/>
      <c r="D1467" s="3"/>
      <c r="E1467" s="3"/>
      <c r="F1467" s="3"/>
      <c r="G1467" s="3"/>
      <c r="H1467" s="3"/>
      <c r="I1467" s="3"/>
      <c r="J1467" s="3"/>
      <c r="K1467" s="3"/>
      <c r="L1467" s="3"/>
      <c r="M1467" s="3"/>
    </row>
    <row r="1468" spans="1:13" s="34" customFormat="1">
      <c r="A1468" s="73"/>
      <c r="B1468" s="3"/>
      <c r="C1468" s="3"/>
      <c r="D1468" s="3"/>
      <c r="E1468" s="3"/>
      <c r="F1468" s="3"/>
      <c r="G1468" s="3"/>
      <c r="H1468" s="3"/>
      <c r="I1468" s="3"/>
      <c r="J1468" s="3"/>
      <c r="K1468" s="3"/>
      <c r="L1468" s="3"/>
      <c r="M1468" s="3"/>
    </row>
    <row r="1469" spans="1:13" s="34" customFormat="1">
      <c r="A1469" s="73"/>
      <c r="B1469" s="3"/>
      <c r="C1469" s="3"/>
      <c r="D1469" s="3"/>
      <c r="E1469" s="3"/>
      <c r="F1469" s="3"/>
      <c r="G1469" s="3"/>
      <c r="H1469" s="3"/>
      <c r="I1469" s="3"/>
      <c r="J1469" s="3"/>
      <c r="K1469" s="3"/>
      <c r="L1469" s="3"/>
      <c r="M1469" s="3"/>
    </row>
    <row r="1470" spans="1:13" s="34" customFormat="1">
      <c r="A1470" s="73"/>
      <c r="B1470" s="3"/>
      <c r="C1470" s="3"/>
      <c r="D1470" s="3"/>
      <c r="E1470" s="3"/>
      <c r="F1470" s="3"/>
      <c r="G1470" s="3"/>
      <c r="H1470" s="3"/>
      <c r="I1470" s="3"/>
      <c r="J1470" s="3"/>
      <c r="K1470" s="3"/>
      <c r="L1470" s="3"/>
      <c r="M1470" s="3"/>
    </row>
    <row r="1471" spans="1:13" s="34" customFormat="1">
      <c r="A1471" s="73"/>
      <c r="B1471" s="3"/>
      <c r="C1471" s="3"/>
      <c r="D1471" s="3"/>
      <c r="E1471" s="3"/>
      <c r="F1471" s="3"/>
      <c r="G1471" s="3"/>
      <c r="H1471" s="3"/>
      <c r="I1471" s="3"/>
      <c r="J1471" s="3"/>
      <c r="K1471" s="3"/>
      <c r="L1471" s="3"/>
      <c r="M1471" s="3"/>
    </row>
    <row r="1472" spans="1:13" s="34" customFormat="1">
      <c r="A1472" s="73"/>
      <c r="B1472" s="3"/>
      <c r="C1472" s="3"/>
      <c r="D1472" s="3"/>
      <c r="E1472" s="3"/>
      <c r="F1472" s="3"/>
      <c r="G1472" s="3"/>
      <c r="H1472" s="3"/>
      <c r="I1472" s="3"/>
      <c r="J1472" s="3"/>
      <c r="K1472" s="3"/>
      <c r="L1472" s="3"/>
      <c r="M1472" s="3"/>
    </row>
    <row r="1473" spans="1:13" s="34" customFormat="1">
      <c r="A1473" s="73"/>
      <c r="B1473" s="3"/>
      <c r="C1473" s="3"/>
      <c r="D1473" s="3"/>
      <c r="E1473" s="3"/>
      <c r="F1473" s="3"/>
      <c r="G1473" s="3"/>
      <c r="H1473" s="3"/>
      <c r="I1473" s="3"/>
      <c r="J1473" s="3"/>
      <c r="K1473" s="3"/>
      <c r="L1473" s="3"/>
      <c r="M1473" s="3"/>
    </row>
    <row r="1474" spans="1:13" s="34" customFormat="1">
      <c r="A1474" s="73"/>
      <c r="B1474" s="3"/>
      <c r="C1474" s="3"/>
      <c r="D1474" s="3"/>
      <c r="E1474" s="3"/>
      <c r="F1474" s="3"/>
      <c r="G1474" s="3"/>
      <c r="H1474" s="3"/>
      <c r="I1474" s="3"/>
      <c r="J1474" s="3"/>
      <c r="K1474" s="3"/>
      <c r="L1474" s="3"/>
      <c r="M1474" s="3"/>
    </row>
    <row r="1475" spans="1:13" s="34" customFormat="1">
      <c r="A1475" s="73"/>
      <c r="B1475" s="3"/>
      <c r="C1475" s="3"/>
      <c r="D1475" s="3"/>
      <c r="E1475" s="3"/>
      <c r="F1475" s="3"/>
      <c r="G1475" s="3"/>
      <c r="H1475" s="3"/>
      <c r="I1475" s="3"/>
      <c r="J1475" s="3"/>
      <c r="K1475" s="3"/>
      <c r="L1475" s="3"/>
      <c r="M1475" s="3"/>
    </row>
    <row r="1476" spans="1:13" s="34" customFormat="1">
      <c r="A1476" s="73"/>
      <c r="B1476" s="3"/>
      <c r="C1476" s="3"/>
      <c r="D1476" s="3"/>
      <c r="E1476" s="3"/>
      <c r="F1476" s="3"/>
      <c r="G1476" s="3"/>
      <c r="H1476" s="3"/>
      <c r="I1476" s="3"/>
      <c r="J1476" s="3"/>
      <c r="K1476" s="3"/>
      <c r="L1476" s="3"/>
      <c r="M1476" s="3"/>
    </row>
    <row r="1477" spans="1:13" s="34" customFormat="1">
      <c r="A1477" s="73"/>
      <c r="B1477" s="3"/>
      <c r="C1477" s="3"/>
      <c r="D1477" s="3"/>
      <c r="E1477" s="3"/>
      <c r="F1477" s="3"/>
      <c r="G1477" s="3"/>
      <c r="H1477" s="3"/>
      <c r="I1477" s="3"/>
      <c r="J1477" s="3"/>
      <c r="K1477" s="3"/>
      <c r="L1477" s="3"/>
      <c r="M1477" s="3"/>
    </row>
    <row r="1478" spans="1:13" s="34" customFormat="1">
      <c r="A1478" s="73"/>
      <c r="B1478" s="3"/>
      <c r="C1478" s="3"/>
      <c r="D1478" s="3"/>
      <c r="E1478" s="3"/>
      <c r="F1478" s="3"/>
      <c r="G1478" s="3"/>
      <c r="H1478" s="3"/>
      <c r="I1478" s="3"/>
      <c r="J1478" s="3"/>
      <c r="K1478" s="3"/>
      <c r="L1478" s="3"/>
      <c r="M1478" s="3"/>
    </row>
    <row r="1479" spans="1:13" s="34" customFormat="1">
      <c r="A1479" s="73"/>
      <c r="B1479" s="3"/>
      <c r="C1479" s="3"/>
      <c r="D1479" s="3"/>
      <c r="E1479" s="3"/>
      <c r="F1479" s="3"/>
      <c r="G1479" s="3"/>
      <c r="H1479" s="3"/>
      <c r="I1479" s="3"/>
      <c r="J1479" s="3"/>
      <c r="K1479" s="3"/>
      <c r="L1479" s="3"/>
      <c r="M1479" s="3"/>
    </row>
    <row r="1480" spans="1:13" s="34" customFormat="1">
      <c r="A1480" s="73"/>
      <c r="B1480" s="3"/>
      <c r="C1480" s="3"/>
      <c r="D1480" s="3"/>
      <c r="E1480" s="3"/>
      <c r="F1480" s="3"/>
      <c r="G1480" s="3"/>
      <c r="H1480" s="3"/>
      <c r="I1480" s="3"/>
      <c r="J1480" s="3"/>
      <c r="K1480" s="3"/>
      <c r="L1480" s="3"/>
      <c r="M1480" s="3"/>
    </row>
    <row r="1481" spans="1:13" s="34" customFormat="1">
      <c r="A1481" s="73"/>
      <c r="B1481" s="3"/>
      <c r="C1481" s="3"/>
      <c r="D1481" s="3"/>
      <c r="E1481" s="3"/>
      <c r="F1481" s="3"/>
      <c r="G1481" s="3"/>
      <c r="H1481" s="3"/>
      <c r="I1481" s="3"/>
      <c r="J1481" s="3"/>
      <c r="K1481" s="3"/>
      <c r="L1481" s="3"/>
      <c r="M1481" s="3"/>
    </row>
    <row r="1482" spans="1:13" s="34" customFormat="1">
      <c r="A1482" s="73"/>
      <c r="B1482" s="3"/>
      <c r="C1482" s="3"/>
      <c r="D1482" s="3"/>
      <c r="E1482" s="3"/>
      <c r="F1482" s="3"/>
      <c r="G1482" s="3"/>
      <c r="H1482" s="3"/>
      <c r="I1482" s="3"/>
      <c r="J1482" s="3"/>
      <c r="K1482" s="3"/>
      <c r="L1482" s="3"/>
      <c r="M1482" s="3"/>
    </row>
    <row r="1483" spans="1:13" s="34" customFormat="1">
      <c r="A1483" s="73"/>
      <c r="B1483" s="3"/>
      <c r="C1483" s="3"/>
      <c r="D1483" s="3"/>
      <c r="E1483" s="3"/>
      <c r="F1483" s="3"/>
      <c r="G1483" s="3"/>
      <c r="H1483" s="3"/>
      <c r="I1483" s="3"/>
      <c r="J1483" s="3"/>
      <c r="K1483" s="3"/>
      <c r="L1483" s="3"/>
      <c r="M1483" s="3"/>
    </row>
    <row r="1484" spans="1:13" s="34" customFormat="1">
      <c r="A1484" s="73"/>
      <c r="B1484" s="3"/>
      <c r="C1484" s="3"/>
      <c r="D1484" s="3"/>
      <c r="E1484" s="3"/>
      <c r="F1484" s="3"/>
      <c r="G1484" s="3"/>
      <c r="H1484" s="3"/>
      <c r="I1484" s="3"/>
      <c r="J1484" s="3"/>
      <c r="K1484" s="3"/>
      <c r="L1484" s="3"/>
      <c r="M1484" s="3"/>
    </row>
    <row r="1485" spans="1:13" s="34" customFormat="1">
      <c r="A1485" s="73"/>
      <c r="B1485" s="3"/>
      <c r="C1485" s="3"/>
      <c r="D1485" s="3"/>
      <c r="E1485" s="3"/>
      <c r="F1485" s="3"/>
      <c r="G1485" s="3"/>
      <c r="H1485" s="3"/>
      <c r="I1485" s="3"/>
      <c r="J1485" s="3"/>
      <c r="K1485" s="3"/>
      <c r="L1485" s="3"/>
      <c r="M1485" s="3"/>
    </row>
    <row r="1486" spans="1:13" s="34" customFormat="1">
      <c r="A1486" s="73"/>
      <c r="B1486" s="3"/>
      <c r="C1486" s="3"/>
      <c r="D1486" s="3"/>
      <c r="E1486" s="3"/>
      <c r="F1486" s="3"/>
      <c r="G1486" s="3"/>
      <c r="H1486" s="3"/>
      <c r="I1486" s="3"/>
      <c r="J1486" s="3"/>
      <c r="K1486" s="3"/>
      <c r="L1486" s="3"/>
      <c r="M1486" s="3"/>
    </row>
    <row r="1487" spans="1:13" s="34" customFormat="1">
      <c r="A1487" s="73"/>
      <c r="B1487" s="3"/>
      <c r="C1487" s="3"/>
      <c r="D1487" s="3"/>
      <c r="E1487" s="3"/>
      <c r="F1487" s="3"/>
      <c r="G1487" s="3"/>
      <c r="H1487" s="3"/>
      <c r="I1487" s="3"/>
      <c r="J1487" s="3"/>
      <c r="K1487" s="3"/>
      <c r="L1487" s="3"/>
      <c r="M1487" s="3"/>
    </row>
    <row r="1488" spans="1:13" s="34" customFormat="1">
      <c r="A1488" s="73"/>
      <c r="B1488" s="3"/>
      <c r="C1488" s="3"/>
      <c r="D1488" s="3"/>
      <c r="E1488" s="3"/>
      <c r="F1488" s="3"/>
      <c r="G1488" s="3"/>
      <c r="H1488" s="3"/>
      <c r="I1488" s="3"/>
      <c r="J1488" s="3"/>
      <c r="K1488" s="3"/>
      <c r="L1488" s="3"/>
      <c r="M1488" s="3"/>
    </row>
    <row r="1489" spans="1:13" s="34" customFormat="1">
      <c r="A1489" s="73"/>
      <c r="B1489" s="3"/>
      <c r="C1489" s="3"/>
      <c r="D1489" s="3"/>
      <c r="E1489" s="3"/>
      <c r="F1489" s="3"/>
      <c r="G1489" s="3"/>
      <c r="H1489" s="3"/>
      <c r="I1489" s="3"/>
      <c r="J1489" s="3"/>
      <c r="K1489" s="3"/>
      <c r="L1489" s="3"/>
      <c r="M1489" s="3"/>
    </row>
    <row r="1490" spans="1:13" s="34" customFormat="1">
      <c r="A1490" s="73"/>
      <c r="B1490" s="3"/>
      <c r="C1490" s="3"/>
      <c r="D1490" s="3"/>
      <c r="E1490" s="3"/>
      <c r="F1490" s="3"/>
      <c r="G1490" s="3"/>
      <c r="H1490" s="3"/>
      <c r="I1490" s="3"/>
      <c r="J1490" s="3"/>
      <c r="K1490" s="3"/>
      <c r="L1490" s="3"/>
      <c r="M1490" s="3"/>
    </row>
    <row r="1491" spans="1:13" s="34" customFormat="1">
      <c r="A1491" s="73"/>
      <c r="B1491" s="3"/>
      <c r="C1491" s="3"/>
      <c r="D1491" s="3"/>
      <c r="E1491" s="3"/>
      <c r="F1491" s="3"/>
      <c r="G1491" s="3"/>
      <c r="H1491" s="3"/>
      <c r="I1491" s="3"/>
      <c r="J1491" s="3"/>
      <c r="K1491" s="3"/>
      <c r="L1491" s="3"/>
      <c r="M1491" s="3"/>
    </row>
    <row r="1492" spans="1:13" s="34" customFormat="1">
      <c r="A1492" s="73"/>
      <c r="B1492" s="3"/>
      <c r="C1492" s="3"/>
      <c r="D1492" s="3"/>
      <c r="E1492" s="3"/>
      <c r="F1492" s="3"/>
      <c r="G1492" s="3"/>
      <c r="H1492" s="3"/>
      <c r="I1492" s="3"/>
      <c r="J1492" s="3"/>
      <c r="K1492" s="3"/>
      <c r="L1492" s="3"/>
      <c r="M1492" s="3"/>
    </row>
    <row r="1493" spans="1:13" s="34" customFormat="1">
      <c r="A1493" s="73"/>
      <c r="B1493" s="3"/>
      <c r="C1493" s="3"/>
      <c r="D1493" s="3"/>
      <c r="E1493" s="3"/>
      <c r="F1493" s="3"/>
      <c r="G1493" s="3"/>
      <c r="H1493" s="3"/>
      <c r="I1493" s="3"/>
      <c r="J1493" s="3"/>
      <c r="K1493" s="3"/>
      <c r="L1493" s="3"/>
      <c r="M1493" s="3"/>
    </row>
    <row r="1494" spans="1:13" s="34" customFormat="1">
      <c r="A1494" s="73"/>
      <c r="B1494" s="3"/>
      <c r="C1494" s="3"/>
      <c r="D1494" s="3"/>
      <c r="E1494" s="3"/>
      <c r="F1494" s="3"/>
      <c r="G1494" s="3"/>
      <c r="H1494" s="3"/>
      <c r="I1494" s="3"/>
      <c r="J1494" s="3"/>
      <c r="K1494" s="3"/>
      <c r="L1494" s="3"/>
      <c r="M1494" s="3"/>
    </row>
    <row r="1495" spans="1:13" s="34" customFormat="1">
      <c r="A1495" s="73"/>
      <c r="B1495" s="3"/>
      <c r="C1495" s="3"/>
      <c r="D1495" s="3"/>
      <c r="E1495" s="3"/>
      <c r="F1495" s="3"/>
      <c r="G1495" s="3"/>
      <c r="H1495" s="3"/>
      <c r="I1495" s="3"/>
      <c r="J1495" s="3"/>
      <c r="K1495" s="3"/>
      <c r="L1495" s="3"/>
      <c r="M1495" s="3"/>
    </row>
    <row r="1496" spans="1:13" s="34" customFormat="1">
      <c r="A1496" s="73"/>
      <c r="B1496" s="3"/>
      <c r="C1496" s="3"/>
      <c r="D1496" s="3"/>
      <c r="E1496" s="3"/>
      <c r="F1496" s="3"/>
      <c r="G1496" s="3"/>
      <c r="H1496" s="3"/>
      <c r="I1496" s="3"/>
      <c r="J1496" s="3"/>
      <c r="K1496" s="3"/>
      <c r="L1496" s="3"/>
      <c r="M1496" s="3"/>
    </row>
    <row r="1497" spans="1:13" s="34" customFormat="1">
      <c r="A1497" s="73"/>
      <c r="B1497" s="3"/>
      <c r="C1497" s="3"/>
      <c r="D1497" s="3"/>
      <c r="E1497" s="3"/>
      <c r="F1497" s="3"/>
      <c r="G1497" s="3"/>
      <c r="H1497" s="3"/>
      <c r="I1497" s="3"/>
      <c r="J1497" s="3"/>
      <c r="K1497" s="3"/>
      <c r="L1497" s="3"/>
      <c r="M1497" s="3"/>
    </row>
    <row r="1498" spans="1:13" s="34" customFormat="1">
      <c r="A1498" s="73"/>
      <c r="B1498" s="3"/>
      <c r="C1498" s="3"/>
      <c r="D1498" s="3"/>
      <c r="E1498" s="3"/>
      <c r="F1498" s="3"/>
      <c r="G1498" s="3"/>
      <c r="H1498" s="3"/>
      <c r="I1498" s="3"/>
      <c r="J1498" s="3"/>
      <c r="K1498" s="3"/>
      <c r="L1498" s="3"/>
      <c r="M1498" s="3"/>
    </row>
    <row r="1499" spans="1:13" s="34" customFormat="1">
      <c r="A1499" s="73"/>
      <c r="B1499" s="3"/>
      <c r="C1499" s="3"/>
      <c r="D1499" s="3"/>
      <c r="E1499" s="3"/>
      <c r="F1499" s="3"/>
      <c r="G1499" s="3"/>
      <c r="H1499" s="3"/>
      <c r="I1499" s="3"/>
      <c r="J1499" s="3"/>
      <c r="K1499" s="3"/>
      <c r="L1499" s="3"/>
      <c r="M1499" s="3"/>
    </row>
    <row r="1500" spans="1:13" s="34" customFormat="1">
      <c r="A1500" s="73"/>
      <c r="B1500" s="3"/>
      <c r="C1500" s="3"/>
      <c r="D1500" s="3"/>
      <c r="E1500" s="3"/>
      <c r="F1500" s="3"/>
      <c r="G1500" s="3"/>
      <c r="H1500" s="3"/>
      <c r="I1500" s="3"/>
      <c r="J1500" s="3"/>
      <c r="K1500" s="3"/>
      <c r="L1500" s="3"/>
      <c r="M1500" s="3"/>
    </row>
    <row r="1501" spans="1:13" s="34" customFormat="1">
      <c r="A1501" s="73"/>
      <c r="B1501" s="3"/>
      <c r="C1501" s="3"/>
      <c r="D1501" s="3"/>
      <c r="E1501" s="3"/>
      <c r="F1501" s="3"/>
      <c r="G1501" s="3"/>
      <c r="H1501" s="3"/>
      <c r="I1501" s="3"/>
      <c r="J1501" s="3"/>
      <c r="K1501" s="3"/>
      <c r="L1501" s="3"/>
      <c r="M1501" s="3"/>
    </row>
    <row r="1502" spans="1:13" s="34" customFormat="1">
      <c r="A1502" s="73"/>
      <c r="B1502" s="3"/>
      <c r="C1502" s="3"/>
      <c r="D1502" s="3"/>
      <c r="E1502" s="3"/>
      <c r="F1502" s="3"/>
      <c r="G1502" s="3"/>
      <c r="H1502" s="3"/>
      <c r="I1502" s="3"/>
      <c r="J1502" s="3"/>
      <c r="K1502" s="3"/>
      <c r="L1502" s="3"/>
      <c r="M1502" s="3"/>
    </row>
    <row r="1503" spans="1:13" s="34" customFormat="1">
      <c r="A1503" s="73"/>
      <c r="B1503" s="3"/>
      <c r="C1503" s="3"/>
      <c r="D1503" s="3"/>
      <c r="E1503" s="3"/>
      <c r="F1503" s="3"/>
      <c r="G1503" s="3"/>
      <c r="H1503" s="3"/>
      <c r="I1503" s="3"/>
      <c r="J1503" s="3"/>
      <c r="K1503" s="3"/>
      <c r="L1503" s="3"/>
      <c r="M1503" s="3"/>
    </row>
    <row r="1504" spans="1:13" s="34" customFormat="1">
      <c r="A1504" s="73"/>
      <c r="B1504" s="3"/>
      <c r="C1504" s="3"/>
      <c r="D1504" s="3"/>
      <c r="E1504" s="3"/>
      <c r="F1504" s="3"/>
      <c r="G1504" s="3"/>
      <c r="H1504" s="3"/>
      <c r="I1504" s="3"/>
      <c r="J1504" s="3"/>
      <c r="K1504" s="3"/>
      <c r="L1504" s="3"/>
      <c r="M1504" s="3"/>
    </row>
    <row r="1505" spans="1:13" s="34" customFormat="1">
      <c r="A1505" s="73"/>
      <c r="B1505" s="3"/>
      <c r="C1505" s="3"/>
      <c r="D1505" s="3"/>
      <c r="E1505" s="3"/>
      <c r="F1505" s="3"/>
      <c r="G1505" s="3"/>
      <c r="H1505" s="3"/>
      <c r="I1505" s="3"/>
      <c r="J1505" s="3"/>
      <c r="K1505" s="3"/>
      <c r="L1505" s="3"/>
      <c r="M1505" s="3"/>
    </row>
    <row r="1506" spans="1:13" s="34" customFormat="1">
      <c r="A1506" s="73"/>
      <c r="B1506" s="3"/>
      <c r="C1506" s="3"/>
      <c r="D1506" s="3"/>
      <c r="E1506" s="3"/>
      <c r="F1506" s="3"/>
      <c r="G1506" s="3"/>
      <c r="H1506" s="3"/>
      <c r="I1506" s="3"/>
      <c r="J1506" s="3"/>
      <c r="K1506" s="3"/>
      <c r="L1506" s="3"/>
      <c r="M1506" s="3"/>
    </row>
    <row r="1507" spans="1:13" s="34" customFormat="1">
      <c r="A1507" s="73"/>
      <c r="B1507" s="3"/>
      <c r="C1507" s="3"/>
      <c r="D1507" s="3"/>
      <c r="E1507" s="3"/>
      <c r="F1507" s="3"/>
      <c r="G1507" s="3"/>
      <c r="H1507" s="3"/>
      <c r="I1507" s="3"/>
      <c r="J1507" s="3"/>
      <c r="K1507" s="3"/>
      <c r="L1507" s="3"/>
      <c r="M1507" s="3"/>
    </row>
    <row r="1508" spans="1:13" s="34" customFormat="1">
      <c r="A1508" s="73"/>
      <c r="B1508" s="3"/>
      <c r="C1508" s="3"/>
      <c r="D1508" s="3"/>
      <c r="E1508" s="3"/>
      <c r="F1508" s="3"/>
      <c r="G1508" s="3"/>
      <c r="H1508" s="3"/>
      <c r="I1508" s="3"/>
      <c r="J1508" s="3"/>
      <c r="K1508" s="3"/>
      <c r="L1508" s="3"/>
      <c r="M1508" s="3"/>
    </row>
    <row r="1509" spans="1:13" s="34" customFormat="1">
      <c r="A1509" s="73"/>
      <c r="B1509" s="3"/>
      <c r="C1509" s="3"/>
      <c r="D1509" s="3"/>
      <c r="E1509" s="3"/>
      <c r="F1509" s="3"/>
      <c r="G1509" s="3"/>
      <c r="H1509" s="3"/>
      <c r="I1509" s="3"/>
      <c r="J1509" s="3"/>
      <c r="K1509" s="3"/>
      <c r="L1509" s="3"/>
      <c r="M1509" s="3"/>
    </row>
    <row r="1510" spans="1:13" s="34" customFormat="1">
      <c r="A1510" s="73"/>
      <c r="B1510" s="3"/>
      <c r="C1510" s="3"/>
      <c r="D1510" s="3"/>
      <c r="E1510" s="3"/>
      <c r="F1510" s="3"/>
      <c r="G1510" s="3"/>
      <c r="H1510" s="3"/>
      <c r="I1510" s="3"/>
      <c r="J1510" s="3"/>
      <c r="K1510" s="3"/>
      <c r="L1510" s="3"/>
      <c r="M1510" s="3"/>
    </row>
    <row r="1511" spans="1:13" s="34" customFormat="1">
      <c r="A1511" s="73"/>
      <c r="B1511" s="3"/>
      <c r="C1511" s="3"/>
      <c r="D1511" s="3"/>
      <c r="E1511" s="3"/>
      <c r="F1511" s="3"/>
      <c r="G1511" s="3"/>
      <c r="H1511" s="3"/>
      <c r="I1511" s="3"/>
      <c r="J1511" s="3"/>
      <c r="K1511" s="3"/>
      <c r="L1511" s="3"/>
      <c r="M1511" s="3"/>
    </row>
    <row r="1512" spans="1:13" s="34" customFormat="1">
      <c r="A1512" s="73"/>
      <c r="B1512" s="3"/>
      <c r="C1512" s="3"/>
      <c r="D1512" s="3"/>
      <c r="E1512" s="3"/>
      <c r="F1512" s="3"/>
      <c r="G1512" s="3"/>
      <c r="H1512" s="3"/>
      <c r="I1512" s="3"/>
      <c r="J1512" s="3"/>
      <c r="K1512" s="3"/>
      <c r="L1512" s="3"/>
      <c r="M1512" s="3"/>
    </row>
    <row r="1513" spans="1:13" s="34" customFormat="1">
      <c r="A1513" s="73"/>
      <c r="B1513" s="3"/>
      <c r="C1513" s="3"/>
      <c r="D1513" s="3"/>
      <c r="E1513" s="3"/>
      <c r="F1513" s="3"/>
      <c r="G1513" s="3"/>
      <c r="H1513" s="3"/>
      <c r="I1513" s="3"/>
      <c r="J1513" s="3"/>
      <c r="K1513" s="3"/>
      <c r="L1513" s="3"/>
      <c r="M1513" s="3"/>
    </row>
    <row r="1514" spans="1:13" s="34" customFormat="1">
      <c r="A1514" s="73"/>
      <c r="B1514" s="3"/>
      <c r="C1514" s="3"/>
      <c r="D1514" s="3"/>
      <c r="E1514" s="3"/>
      <c r="F1514" s="3"/>
      <c r="G1514" s="3"/>
      <c r="H1514" s="3"/>
      <c r="I1514" s="3"/>
      <c r="J1514" s="3"/>
      <c r="K1514" s="3"/>
      <c r="L1514" s="3"/>
      <c r="M1514" s="3"/>
    </row>
    <row r="1515" spans="1:13" s="34" customFormat="1">
      <c r="A1515" s="73"/>
      <c r="B1515" s="3"/>
      <c r="C1515" s="3"/>
      <c r="D1515" s="3"/>
      <c r="E1515" s="3"/>
      <c r="F1515" s="3"/>
      <c r="G1515" s="3"/>
      <c r="H1515" s="3"/>
      <c r="I1515" s="3"/>
      <c r="J1515" s="3"/>
      <c r="K1515" s="3"/>
      <c r="L1515" s="3"/>
      <c r="M1515" s="3"/>
    </row>
    <row r="1516" spans="1:13" s="34" customFormat="1">
      <c r="A1516" s="73"/>
      <c r="B1516" s="3"/>
      <c r="C1516" s="3"/>
      <c r="D1516" s="3"/>
      <c r="E1516" s="3"/>
      <c r="F1516" s="3"/>
      <c r="G1516" s="3"/>
      <c r="H1516" s="3"/>
      <c r="I1516" s="3"/>
      <c r="J1516" s="3"/>
      <c r="K1516" s="3"/>
      <c r="L1516" s="3"/>
      <c r="M1516" s="3"/>
    </row>
    <row r="1517" spans="1:13" s="34" customFormat="1">
      <c r="A1517" s="73"/>
      <c r="B1517" s="3"/>
      <c r="C1517" s="3"/>
      <c r="D1517" s="3"/>
      <c r="E1517" s="3"/>
      <c r="F1517" s="3"/>
      <c r="G1517" s="3"/>
      <c r="H1517" s="3"/>
      <c r="I1517" s="3"/>
      <c r="J1517" s="3"/>
      <c r="K1517" s="3"/>
      <c r="L1517" s="3"/>
      <c r="M1517" s="3"/>
    </row>
    <row r="1518" spans="1:13" s="34" customFormat="1">
      <c r="A1518" s="73"/>
      <c r="B1518" s="3"/>
      <c r="C1518" s="3"/>
      <c r="D1518" s="3"/>
      <c r="E1518" s="3"/>
      <c r="F1518" s="3"/>
      <c r="G1518" s="3"/>
      <c r="H1518" s="3"/>
      <c r="I1518" s="3"/>
      <c r="J1518" s="3"/>
      <c r="K1518" s="3"/>
      <c r="L1518" s="3"/>
      <c r="M1518" s="3"/>
    </row>
    <row r="1519" spans="1:13" s="34" customFormat="1">
      <c r="A1519" s="73"/>
      <c r="B1519" s="3"/>
      <c r="C1519" s="3"/>
      <c r="D1519" s="3"/>
      <c r="E1519" s="3"/>
      <c r="F1519" s="3"/>
      <c r="G1519" s="3"/>
      <c r="H1519" s="3"/>
      <c r="I1519" s="3"/>
      <c r="J1519" s="3"/>
      <c r="K1519" s="3"/>
      <c r="L1519" s="3"/>
      <c r="M1519" s="3"/>
    </row>
    <row r="1520" spans="1:13" s="34" customFormat="1">
      <c r="A1520" s="73"/>
      <c r="B1520" s="3"/>
      <c r="C1520" s="3"/>
      <c r="D1520" s="3"/>
      <c r="E1520" s="3"/>
      <c r="F1520" s="3"/>
      <c r="G1520" s="3"/>
      <c r="H1520" s="3"/>
      <c r="I1520" s="3"/>
      <c r="J1520" s="3"/>
      <c r="K1520" s="3"/>
      <c r="L1520" s="3"/>
      <c r="M1520" s="3"/>
    </row>
    <row r="1521" spans="1:13" s="34" customFormat="1">
      <c r="A1521" s="73"/>
      <c r="B1521" s="3"/>
      <c r="C1521" s="3"/>
      <c r="D1521" s="3"/>
      <c r="E1521" s="3"/>
      <c r="F1521" s="3"/>
      <c r="G1521" s="3"/>
      <c r="H1521" s="3"/>
      <c r="I1521" s="3"/>
      <c r="J1521" s="3"/>
      <c r="K1521" s="3"/>
      <c r="L1521" s="3"/>
      <c r="M1521" s="3"/>
    </row>
    <row r="1522" spans="1:13" s="34" customFormat="1">
      <c r="A1522" s="73"/>
      <c r="B1522" s="3"/>
      <c r="C1522" s="3"/>
      <c r="D1522" s="3"/>
      <c r="E1522" s="3"/>
      <c r="F1522" s="3"/>
      <c r="G1522" s="3"/>
      <c r="H1522" s="3"/>
      <c r="I1522" s="3"/>
      <c r="J1522" s="3"/>
      <c r="K1522" s="3"/>
      <c r="L1522" s="3"/>
      <c r="M1522" s="3"/>
    </row>
    <row r="1523" spans="1:13" s="34" customFormat="1">
      <c r="A1523" s="73"/>
      <c r="B1523" s="3"/>
      <c r="C1523" s="3"/>
      <c r="D1523" s="3"/>
      <c r="E1523" s="3"/>
      <c r="F1523" s="3"/>
      <c r="G1523" s="3"/>
      <c r="H1523" s="3"/>
      <c r="I1523" s="3"/>
      <c r="J1523" s="3"/>
      <c r="K1523" s="3"/>
      <c r="L1523" s="3"/>
      <c r="M1523" s="3"/>
    </row>
    <row r="1524" spans="1:13" s="34" customFormat="1">
      <c r="A1524" s="73"/>
      <c r="B1524" s="3"/>
      <c r="C1524" s="3"/>
      <c r="D1524" s="3"/>
      <c r="E1524" s="3"/>
      <c r="F1524" s="3"/>
      <c r="G1524" s="3"/>
      <c r="H1524" s="3"/>
      <c r="I1524" s="3"/>
      <c r="J1524" s="3"/>
      <c r="K1524" s="3"/>
      <c r="L1524" s="3"/>
      <c r="M1524" s="3"/>
    </row>
    <row r="1525" spans="1:13" s="34" customFormat="1">
      <c r="A1525" s="73"/>
      <c r="B1525" s="3"/>
      <c r="C1525" s="3"/>
      <c r="D1525" s="3"/>
      <c r="E1525" s="3"/>
      <c r="F1525" s="3"/>
      <c r="G1525" s="3"/>
      <c r="H1525" s="3"/>
      <c r="I1525" s="3"/>
      <c r="J1525" s="3"/>
      <c r="K1525" s="3"/>
      <c r="L1525" s="3"/>
      <c r="M1525" s="3"/>
    </row>
    <row r="1526" spans="1:13" s="34" customFormat="1">
      <c r="A1526" s="73"/>
      <c r="B1526" s="3"/>
      <c r="C1526" s="3"/>
      <c r="D1526" s="3"/>
      <c r="E1526" s="3"/>
      <c r="F1526" s="3"/>
      <c r="G1526" s="3"/>
      <c r="H1526" s="3"/>
      <c r="I1526" s="3"/>
      <c r="J1526" s="3"/>
      <c r="K1526" s="3"/>
      <c r="L1526" s="3"/>
      <c r="M1526" s="3"/>
    </row>
    <row r="1527" spans="1:13" s="34" customFormat="1">
      <c r="A1527" s="73"/>
      <c r="B1527" s="3"/>
      <c r="C1527" s="3"/>
      <c r="D1527" s="3"/>
      <c r="E1527" s="3"/>
      <c r="F1527" s="3"/>
      <c r="G1527" s="3"/>
      <c r="H1527" s="3"/>
      <c r="I1527" s="3"/>
      <c r="J1527" s="3"/>
      <c r="K1527" s="3"/>
      <c r="L1527" s="3"/>
      <c r="M1527" s="3"/>
    </row>
    <row r="1528" spans="1:13" s="34" customFormat="1">
      <c r="A1528" s="73"/>
      <c r="B1528" s="3"/>
      <c r="C1528" s="3"/>
      <c r="D1528" s="3"/>
      <c r="E1528" s="3"/>
      <c r="F1528" s="3"/>
      <c r="G1528" s="3"/>
      <c r="H1528" s="3"/>
      <c r="I1528" s="3"/>
      <c r="J1528" s="3"/>
      <c r="K1528" s="3"/>
      <c r="L1528" s="3"/>
      <c r="M1528" s="3"/>
    </row>
    <row r="1529" spans="1:13" s="34" customFormat="1">
      <c r="A1529" s="73"/>
      <c r="B1529" s="3"/>
      <c r="C1529" s="3"/>
      <c r="D1529" s="3"/>
      <c r="E1529" s="3"/>
      <c r="F1529" s="3"/>
      <c r="G1529" s="3"/>
      <c r="H1529" s="3"/>
      <c r="I1529" s="3"/>
      <c r="J1529" s="3"/>
      <c r="K1529" s="3"/>
      <c r="L1529" s="3"/>
      <c r="M1529" s="3"/>
    </row>
    <row r="1530" spans="1:13" s="34" customFormat="1">
      <c r="A1530" s="73"/>
      <c r="B1530" s="3"/>
      <c r="C1530" s="3"/>
      <c r="D1530" s="3"/>
      <c r="E1530" s="3"/>
      <c r="F1530" s="3"/>
      <c r="G1530" s="3"/>
      <c r="H1530" s="3"/>
      <c r="I1530" s="3"/>
      <c r="J1530" s="3"/>
      <c r="K1530" s="3"/>
      <c r="L1530" s="3"/>
      <c r="M1530" s="3"/>
    </row>
    <row r="1531" spans="1:13" s="34" customFormat="1">
      <c r="A1531" s="73"/>
      <c r="B1531" s="3"/>
      <c r="C1531" s="3"/>
      <c r="D1531" s="3"/>
      <c r="E1531" s="3"/>
      <c r="F1531" s="3"/>
      <c r="G1531" s="3"/>
      <c r="H1531" s="3"/>
      <c r="I1531" s="3"/>
      <c r="J1531" s="3"/>
      <c r="K1531" s="3"/>
      <c r="L1531" s="3"/>
      <c r="M1531" s="3"/>
    </row>
    <row r="1532" spans="1:13" s="34" customFormat="1">
      <c r="A1532" s="73"/>
      <c r="B1532" s="3"/>
      <c r="C1532" s="3"/>
      <c r="D1532" s="3"/>
      <c r="E1532" s="3"/>
      <c r="F1532" s="3"/>
      <c r="G1532" s="3"/>
      <c r="H1532" s="3"/>
      <c r="I1532" s="3"/>
      <c r="J1532" s="3"/>
      <c r="K1532" s="3"/>
      <c r="L1532" s="3"/>
      <c r="M1532" s="3"/>
    </row>
    <row r="1533" spans="1:13" s="34" customFormat="1">
      <c r="A1533" s="73"/>
      <c r="B1533" s="3"/>
      <c r="C1533" s="3"/>
      <c r="D1533" s="3"/>
      <c r="E1533" s="3"/>
      <c r="F1533" s="3"/>
      <c r="G1533" s="3"/>
      <c r="H1533" s="3"/>
      <c r="I1533" s="3"/>
      <c r="J1533" s="3"/>
      <c r="K1533" s="3"/>
      <c r="L1533" s="3"/>
      <c r="M1533" s="3"/>
    </row>
    <row r="1534" spans="1:13" s="34" customFormat="1">
      <c r="A1534" s="73"/>
      <c r="B1534" s="3"/>
      <c r="C1534" s="3"/>
      <c r="D1534" s="3"/>
      <c r="E1534" s="3"/>
      <c r="F1534" s="3"/>
      <c r="G1534" s="3"/>
      <c r="H1534" s="3"/>
      <c r="I1534" s="3"/>
      <c r="J1534" s="3"/>
      <c r="K1534" s="3"/>
      <c r="L1534" s="3"/>
      <c r="M1534" s="3"/>
    </row>
    <row r="1535" spans="1:13" s="34" customFormat="1">
      <c r="A1535" s="73"/>
      <c r="B1535" s="3"/>
      <c r="C1535" s="3"/>
      <c r="D1535" s="3"/>
      <c r="E1535" s="3"/>
      <c r="F1535" s="3"/>
      <c r="G1535" s="3"/>
      <c r="H1535" s="3"/>
      <c r="I1535" s="3"/>
      <c r="J1535" s="3"/>
      <c r="K1535" s="3"/>
      <c r="L1535" s="3"/>
      <c r="M1535" s="3"/>
    </row>
    <row r="1536" spans="1:13" s="34" customFormat="1">
      <c r="A1536" s="73"/>
      <c r="B1536" s="3"/>
      <c r="C1536" s="3"/>
      <c r="D1536" s="3"/>
      <c r="E1536" s="3"/>
      <c r="F1536" s="3"/>
      <c r="G1536" s="3"/>
      <c r="H1536" s="3"/>
      <c r="I1536" s="3"/>
      <c r="J1536" s="3"/>
      <c r="K1536" s="3"/>
      <c r="L1536" s="3"/>
      <c r="M1536" s="3"/>
    </row>
    <row r="1537" spans="1:13" s="34" customFormat="1">
      <c r="A1537" s="73"/>
      <c r="B1537" s="3"/>
      <c r="C1537" s="3"/>
      <c r="D1537" s="3"/>
      <c r="E1537" s="3"/>
      <c r="F1537" s="3"/>
      <c r="G1537" s="3"/>
      <c r="H1537" s="3"/>
      <c r="I1537" s="3"/>
      <c r="J1537" s="3"/>
      <c r="K1537" s="3"/>
      <c r="L1537" s="3"/>
      <c r="M1537" s="3"/>
    </row>
    <row r="1538" spans="1:13" s="34" customFormat="1">
      <c r="A1538" s="73"/>
      <c r="B1538" s="3"/>
      <c r="C1538" s="3"/>
      <c r="D1538" s="3"/>
      <c r="E1538" s="3"/>
      <c r="F1538" s="3"/>
      <c r="G1538" s="3"/>
      <c r="H1538" s="3"/>
      <c r="I1538" s="3"/>
      <c r="J1538" s="3"/>
      <c r="K1538" s="3"/>
      <c r="L1538" s="3"/>
      <c r="M1538" s="3"/>
    </row>
    <row r="1539" spans="1:13" s="34" customFormat="1">
      <c r="A1539" s="73"/>
      <c r="B1539" s="3"/>
      <c r="C1539" s="3"/>
      <c r="D1539" s="3"/>
      <c r="E1539" s="3"/>
      <c r="F1539" s="3"/>
      <c r="G1539" s="3"/>
      <c r="H1539" s="3"/>
      <c r="I1539" s="3"/>
      <c r="J1539" s="3"/>
      <c r="K1539" s="3"/>
      <c r="L1539" s="3"/>
      <c r="M1539" s="3"/>
    </row>
    <row r="1540" spans="1:13" s="34" customFormat="1">
      <c r="A1540" s="73"/>
      <c r="B1540" s="3"/>
      <c r="C1540" s="3"/>
      <c r="D1540" s="3"/>
      <c r="E1540" s="3"/>
      <c r="F1540" s="3"/>
      <c r="G1540" s="3"/>
      <c r="H1540" s="3"/>
      <c r="I1540" s="3"/>
      <c r="J1540" s="3"/>
      <c r="K1540" s="3"/>
      <c r="L1540" s="3"/>
      <c r="M1540" s="3"/>
    </row>
    <row r="1541" spans="1:13" s="34" customFormat="1">
      <c r="A1541" s="73"/>
      <c r="B1541" s="3"/>
      <c r="C1541" s="3"/>
      <c r="D1541" s="3"/>
      <c r="E1541" s="3"/>
      <c r="F1541" s="3"/>
      <c r="G1541" s="3"/>
      <c r="H1541" s="3"/>
      <c r="I1541" s="3"/>
      <c r="J1541" s="3"/>
      <c r="K1541" s="3"/>
      <c r="L1541" s="3"/>
      <c r="M1541" s="3"/>
    </row>
    <row r="1542" spans="1:13" s="34" customFormat="1">
      <c r="A1542" s="73"/>
      <c r="B1542" s="3"/>
      <c r="C1542" s="3"/>
      <c r="D1542" s="3"/>
      <c r="E1542" s="3"/>
      <c r="F1542" s="3"/>
      <c r="G1542" s="3"/>
      <c r="H1542" s="3"/>
      <c r="I1542" s="3"/>
      <c r="J1542" s="3"/>
      <c r="K1542" s="3"/>
      <c r="L1542" s="3"/>
      <c r="M1542" s="3"/>
    </row>
    <row r="1543" spans="1:13" s="34" customFormat="1">
      <c r="A1543" s="73"/>
      <c r="B1543" s="3"/>
      <c r="C1543" s="3"/>
      <c r="D1543" s="3"/>
      <c r="E1543" s="3"/>
      <c r="F1543" s="3"/>
      <c r="G1543" s="3"/>
      <c r="H1543" s="3"/>
      <c r="I1543" s="3"/>
      <c r="J1543" s="3"/>
      <c r="K1543" s="3"/>
      <c r="L1543" s="3"/>
      <c r="M1543" s="3"/>
    </row>
    <row r="1544" spans="1:13" s="34" customFormat="1">
      <c r="A1544" s="73"/>
      <c r="B1544" s="3"/>
      <c r="C1544" s="3"/>
      <c r="D1544" s="3"/>
      <c r="E1544" s="3"/>
      <c r="F1544" s="3"/>
      <c r="G1544" s="3"/>
      <c r="H1544" s="3"/>
      <c r="I1544" s="3"/>
      <c r="J1544" s="3"/>
      <c r="K1544" s="3"/>
      <c r="L1544" s="3"/>
      <c r="M1544" s="3"/>
    </row>
    <row r="1545" spans="1:13" s="34" customFormat="1">
      <c r="A1545" s="73"/>
      <c r="B1545" s="3"/>
      <c r="C1545" s="3"/>
      <c r="D1545" s="3"/>
      <c r="E1545" s="3"/>
      <c r="F1545" s="3"/>
      <c r="G1545" s="3"/>
      <c r="H1545" s="3"/>
      <c r="I1545" s="3"/>
      <c r="J1545" s="3"/>
      <c r="K1545" s="3"/>
      <c r="L1545" s="3"/>
      <c r="M1545" s="3"/>
    </row>
    <row r="1546" spans="1:13" s="34" customFormat="1">
      <c r="A1546" s="73"/>
      <c r="B1546" s="3"/>
      <c r="C1546" s="3"/>
      <c r="D1546" s="3"/>
      <c r="E1546" s="3"/>
      <c r="F1546" s="3"/>
      <c r="G1546" s="3"/>
      <c r="H1546" s="3"/>
      <c r="I1546" s="3"/>
      <c r="J1546" s="3"/>
      <c r="K1546" s="3"/>
      <c r="L1546" s="3"/>
      <c r="M1546" s="3"/>
    </row>
    <row r="1547" spans="1:13" s="34" customFormat="1">
      <c r="A1547" s="73"/>
      <c r="B1547" s="3"/>
      <c r="C1547" s="3"/>
      <c r="D1547" s="3"/>
      <c r="E1547" s="3"/>
      <c r="F1547" s="3"/>
      <c r="G1547" s="3"/>
      <c r="H1547" s="3"/>
      <c r="I1547" s="3"/>
      <c r="J1547" s="3"/>
      <c r="K1547" s="3"/>
      <c r="L1547" s="3"/>
      <c r="M1547" s="3"/>
    </row>
    <row r="1548" spans="1:13" s="34" customFormat="1">
      <c r="A1548" s="73"/>
      <c r="B1548" s="3"/>
      <c r="C1548" s="3"/>
      <c r="D1548" s="3"/>
      <c r="E1548" s="3"/>
      <c r="F1548" s="3"/>
      <c r="G1548" s="3"/>
      <c r="H1548" s="3"/>
      <c r="I1548" s="3"/>
      <c r="J1548" s="3"/>
      <c r="K1548" s="3"/>
      <c r="L1548" s="3"/>
      <c r="M1548" s="3"/>
    </row>
    <row r="1549" spans="1:13" s="34" customFormat="1">
      <c r="A1549" s="73"/>
      <c r="B1549" s="3"/>
      <c r="C1549" s="3"/>
      <c r="D1549" s="3"/>
      <c r="E1549" s="3"/>
      <c r="F1549" s="3"/>
      <c r="G1549" s="3"/>
      <c r="H1549" s="3"/>
      <c r="I1549" s="3"/>
      <c r="J1549" s="3"/>
      <c r="K1549" s="3"/>
      <c r="L1549" s="3"/>
      <c r="M1549" s="3"/>
    </row>
    <row r="1550" spans="1:13" s="34" customFormat="1">
      <c r="A1550" s="73"/>
      <c r="B1550" s="3"/>
      <c r="C1550" s="3"/>
      <c r="D1550" s="3"/>
      <c r="E1550" s="3"/>
      <c r="F1550" s="3"/>
      <c r="G1550" s="3"/>
      <c r="H1550" s="3"/>
      <c r="I1550" s="3"/>
      <c r="J1550" s="3"/>
      <c r="K1550" s="3"/>
      <c r="L1550" s="3"/>
      <c r="M1550" s="3"/>
    </row>
    <row r="1551" spans="1:13" s="34" customFormat="1">
      <c r="A1551" s="73"/>
      <c r="B1551" s="3"/>
      <c r="C1551" s="3"/>
      <c r="D1551" s="3"/>
      <c r="E1551" s="3"/>
      <c r="F1551" s="3"/>
      <c r="G1551" s="3"/>
      <c r="H1551" s="3"/>
      <c r="I1551" s="3"/>
      <c r="J1551" s="3"/>
      <c r="K1551" s="3"/>
      <c r="L1551" s="3"/>
      <c r="M1551" s="3"/>
    </row>
    <row r="1552" spans="1:13" s="34" customFormat="1">
      <c r="A1552" s="73"/>
      <c r="B1552" s="3"/>
      <c r="C1552" s="3"/>
      <c r="D1552" s="3"/>
      <c r="E1552" s="3"/>
      <c r="F1552" s="3"/>
      <c r="G1552" s="3"/>
      <c r="H1552" s="3"/>
      <c r="I1552" s="3"/>
      <c r="J1552" s="3"/>
      <c r="K1552" s="3"/>
      <c r="L1552" s="3"/>
      <c r="M1552" s="3"/>
    </row>
    <row r="1553" spans="1:13" s="34" customFormat="1">
      <c r="A1553" s="73"/>
      <c r="B1553" s="3"/>
      <c r="C1553" s="3"/>
      <c r="D1553" s="3"/>
      <c r="E1553" s="3"/>
      <c r="F1553" s="3"/>
      <c r="G1553" s="3"/>
      <c r="H1553" s="3"/>
      <c r="I1553" s="3"/>
      <c r="J1553" s="3"/>
      <c r="K1553" s="3"/>
      <c r="L1553" s="3"/>
      <c r="M1553" s="3"/>
    </row>
    <row r="1554" spans="1:13" s="34" customFormat="1">
      <c r="A1554" s="73"/>
      <c r="B1554" s="3"/>
      <c r="C1554" s="3"/>
      <c r="D1554" s="3"/>
      <c r="E1554" s="3"/>
      <c r="F1554" s="3"/>
      <c r="G1554" s="3"/>
      <c r="H1554" s="3"/>
      <c r="I1554" s="3"/>
      <c r="J1554" s="3"/>
      <c r="K1554" s="3"/>
      <c r="L1554" s="3"/>
      <c r="M1554" s="3"/>
    </row>
    <row r="1555" spans="1:13" s="34" customFormat="1">
      <c r="A1555" s="73"/>
      <c r="B1555" s="3"/>
      <c r="C1555" s="3"/>
      <c r="D1555" s="3"/>
      <c r="E1555" s="3"/>
      <c r="F1555" s="3"/>
      <c r="G1555" s="3"/>
      <c r="H1555" s="3"/>
      <c r="I1555" s="3"/>
      <c r="J1555" s="3"/>
      <c r="K1555" s="3"/>
      <c r="L1555" s="3"/>
      <c r="M1555" s="3"/>
    </row>
    <row r="1556" spans="1:13" s="34" customFormat="1">
      <c r="A1556" s="73"/>
      <c r="B1556" s="3"/>
      <c r="C1556" s="3"/>
      <c r="D1556" s="3"/>
      <c r="E1556" s="3"/>
      <c r="F1556" s="3"/>
      <c r="G1556" s="3"/>
      <c r="H1556" s="3"/>
      <c r="I1556" s="3"/>
      <c r="J1556" s="3"/>
      <c r="K1556" s="3"/>
      <c r="L1556" s="3"/>
      <c r="M1556" s="3"/>
    </row>
    <row r="1557" spans="1:13" s="34" customFormat="1">
      <c r="A1557" s="73"/>
      <c r="B1557" s="3"/>
      <c r="C1557" s="3"/>
      <c r="D1557" s="3"/>
      <c r="E1557" s="3"/>
      <c r="F1557" s="3"/>
      <c r="G1557" s="3"/>
      <c r="H1557" s="3"/>
      <c r="I1557" s="3"/>
      <c r="J1557" s="3"/>
      <c r="K1557" s="3"/>
      <c r="L1557" s="3"/>
      <c r="M1557" s="3"/>
    </row>
    <row r="1558" spans="1:13" s="34" customFormat="1">
      <c r="A1558" s="73"/>
      <c r="B1558" s="3"/>
      <c r="C1558" s="3"/>
      <c r="D1558" s="3"/>
      <c r="E1558" s="3"/>
      <c r="F1558" s="3"/>
      <c r="G1558" s="3"/>
      <c r="H1558" s="3"/>
      <c r="I1558" s="3"/>
      <c r="J1558" s="3"/>
      <c r="K1558" s="3"/>
      <c r="L1558" s="3"/>
      <c r="M1558" s="3"/>
    </row>
    <row r="1559" spans="1:13" s="34" customFormat="1">
      <c r="A1559" s="73"/>
      <c r="B1559" s="3"/>
      <c r="C1559" s="3"/>
      <c r="D1559" s="3"/>
      <c r="E1559" s="3"/>
      <c r="F1559" s="3"/>
      <c r="G1559" s="3"/>
      <c r="H1559" s="3"/>
      <c r="I1559" s="3"/>
      <c r="J1559" s="3"/>
      <c r="K1559" s="3"/>
      <c r="L1559" s="3"/>
      <c r="M1559" s="3"/>
    </row>
    <row r="1560" spans="1:13" s="34" customFormat="1">
      <c r="A1560" s="73"/>
      <c r="B1560" s="3"/>
      <c r="C1560" s="3"/>
      <c r="D1560" s="3"/>
      <c r="E1560" s="3"/>
      <c r="F1560" s="3"/>
      <c r="G1560" s="3"/>
      <c r="H1560" s="3"/>
      <c r="I1560" s="3"/>
      <c r="J1560" s="3"/>
      <c r="K1560" s="3"/>
      <c r="L1560" s="3"/>
      <c r="M1560" s="3"/>
    </row>
    <row r="1561" spans="1:13" s="34" customFormat="1">
      <c r="A1561" s="73"/>
      <c r="B1561" s="3"/>
      <c r="C1561" s="3"/>
      <c r="D1561" s="3"/>
      <c r="E1561" s="3"/>
      <c r="F1561" s="3"/>
      <c r="G1561" s="3"/>
      <c r="H1561" s="3"/>
      <c r="I1561" s="3"/>
      <c r="J1561" s="3"/>
      <c r="K1561" s="3"/>
      <c r="L1561" s="3"/>
      <c r="M1561" s="3"/>
    </row>
    <row r="1562" spans="1:13" s="34" customFormat="1">
      <c r="A1562" s="73"/>
      <c r="B1562" s="3"/>
      <c r="C1562" s="3"/>
      <c r="D1562" s="3"/>
      <c r="E1562" s="3"/>
      <c r="F1562" s="3"/>
      <c r="G1562" s="3"/>
      <c r="H1562" s="3"/>
      <c r="I1562" s="3"/>
      <c r="J1562" s="3"/>
      <c r="K1562" s="3"/>
      <c r="L1562" s="3"/>
      <c r="M1562" s="3"/>
    </row>
    <row r="1563" spans="1:13" s="34" customFormat="1">
      <c r="A1563" s="73"/>
      <c r="B1563" s="3"/>
      <c r="C1563" s="3"/>
      <c r="D1563" s="3"/>
      <c r="E1563" s="3"/>
      <c r="F1563" s="3"/>
      <c r="G1563" s="3"/>
      <c r="H1563" s="3"/>
      <c r="I1563" s="3"/>
      <c r="J1563" s="3"/>
      <c r="K1563" s="3"/>
      <c r="L1563" s="3"/>
      <c r="M1563" s="3"/>
    </row>
    <row r="1564" spans="1:13" s="34" customFormat="1">
      <c r="A1564" s="73"/>
      <c r="B1564" s="3"/>
      <c r="C1564" s="3"/>
      <c r="D1564" s="3"/>
      <c r="E1564" s="3"/>
      <c r="F1564" s="3"/>
      <c r="G1564" s="3"/>
      <c r="H1564" s="3"/>
      <c r="I1564" s="3"/>
      <c r="J1564" s="3"/>
      <c r="K1564" s="3"/>
      <c r="L1564" s="3"/>
      <c r="M1564" s="3"/>
    </row>
    <row r="1565" spans="1:13" s="34" customFormat="1">
      <c r="A1565" s="73"/>
      <c r="B1565" s="3"/>
      <c r="C1565" s="3"/>
      <c r="D1565" s="3"/>
      <c r="E1565" s="3"/>
      <c r="F1565" s="3"/>
      <c r="G1565" s="3"/>
      <c r="H1565" s="3"/>
      <c r="I1565" s="3"/>
      <c r="J1565" s="3"/>
      <c r="K1565" s="3"/>
      <c r="L1565" s="3"/>
      <c r="M1565" s="3"/>
    </row>
    <row r="1566" spans="1:13" s="34" customFormat="1">
      <c r="A1566" s="73"/>
      <c r="B1566" s="3"/>
      <c r="C1566" s="3"/>
      <c r="D1566" s="3"/>
      <c r="E1566" s="3"/>
      <c r="F1566" s="3"/>
      <c r="G1566" s="3"/>
      <c r="H1566" s="3"/>
      <c r="I1566" s="3"/>
      <c r="J1566" s="3"/>
      <c r="K1566" s="3"/>
      <c r="L1566" s="3"/>
      <c r="M1566" s="3"/>
    </row>
    <row r="1567" spans="1:13" s="34" customFormat="1">
      <c r="A1567" s="73"/>
      <c r="B1567" s="3"/>
      <c r="C1567" s="3"/>
      <c r="D1567" s="3"/>
      <c r="E1567" s="3"/>
      <c r="F1567" s="3"/>
      <c r="G1567" s="3"/>
      <c r="H1567" s="3"/>
      <c r="I1567" s="3"/>
      <c r="J1567" s="3"/>
      <c r="K1567" s="3"/>
      <c r="L1567" s="3"/>
      <c r="M1567" s="3"/>
    </row>
    <row r="1568" spans="1:13" s="34" customFormat="1">
      <c r="A1568" s="73"/>
      <c r="B1568" s="3"/>
      <c r="C1568" s="3"/>
      <c r="D1568" s="3"/>
      <c r="E1568" s="3"/>
      <c r="F1568" s="3"/>
      <c r="G1568" s="3"/>
      <c r="H1568" s="3"/>
      <c r="I1568" s="3"/>
      <c r="J1568" s="3"/>
      <c r="K1568" s="3"/>
      <c r="L1568" s="3"/>
      <c r="M1568" s="3"/>
    </row>
    <row r="1569" spans="1:13" s="34" customFormat="1">
      <c r="A1569" s="73"/>
      <c r="B1569" s="3"/>
      <c r="C1569" s="3"/>
      <c r="D1569" s="3"/>
      <c r="E1569" s="3"/>
      <c r="F1569" s="3"/>
      <c r="G1569" s="3"/>
      <c r="H1569" s="3"/>
      <c r="I1569" s="3"/>
      <c r="J1569" s="3"/>
      <c r="K1569" s="3"/>
      <c r="L1569" s="3"/>
      <c r="M1569" s="3"/>
    </row>
    <row r="1570" spans="1:13" s="34" customFormat="1">
      <c r="A1570" s="73"/>
      <c r="B1570" s="3"/>
      <c r="C1570" s="3"/>
      <c r="D1570" s="3"/>
      <c r="E1570" s="3"/>
      <c r="F1570" s="3"/>
      <c r="G1570" s="3"/>
      <c r="H1570" s="3"/>
      <c r="I1570" s="3"/>
      <c r="J1570" s="3"/>
      <c r="K1570" s="3"/>
      <c r="L1570" s="3"/>
      <c r="M1570" s="3"/>
    </row>
    <row r="1571" spans="1:13" s="34" customFormat="1">
      <c r="A1571" s="73"/>
      <c r="B1571" s="3"/>
      <c r="C1571" s="3"/>
      <c r="D1571" s="3"/>
      <c r="E1571" s="3"/>
      <c r="F1571" s="3"/>
      <c r="G1571" s="3"/>
      <c r="H1571" s="3"/>
      <c r="I1571" s="3"/>
      <c r="J1571" s="3"/>
      <c r="K1571" s="3"/>
      <c r="L1571" s="3"/>
      <c r="M1571" s="3"/>
    </row>
    <row r="1572" spans="1:13" s="34" customFormat="1">
      <c r="A1572" s="73"/>
      <c r="B1572" s="3"/>
      <c r="C1572" s="3"/>
      <c r="D1572" s="3"/>
      <c r="E1572" s="3"/>
      <c r="F1572" s="3"/>
      <c r="G1572" s="3"/>
      <c r="H1572" s="3"/>
      <c r="I1572" s="3"/>
      <c r="J1572" s="3"/>
      <c r="K1572" s="3"/>
      <c r="L1572" s="3"/>
      <c r="M1572" s="3"/>
    </row>
    <row r="1573" spans="1:13" s="34" customFormat="1">
      <c r="A1573" s="73"/>
      <c r="B1573" s="3"/>
      <c r="C1573" s="3"/>
      <c r="D1573" s="3"/>
      <c r="E1573" s="3"/>
      <c r="F1573" s="3"/>
      <c r="G1573" s="3"/>
      <c r="H1573" s="3"/>
      <c r="I1573" s="3"/>
      <c r="J1573" s="3"/>
      <c r="K1573" s="3"/>
      <c r="L1573" s="3"/>
      <c r="M1573" s="3"/>
    </row>
    <row r="1574" spans="1:13" s="34" customFormat="1">
      <c r="A1574" s="73"/>
      <c r="B1574" s="3"/>
      <c r="C1574" s="3"/>
      <c r="D1574" s="3"/>
      <c r="E1574" s="3"/>
      <c r="F1574" s="3"/>
      <c r="G1574" s="3"/>
      <c r="H1574" s="3"/>
      <c r="I1574" s="3"/>
      <c r="J1574" s="3"/>
      <c r="K1574" s="3"/>
      <c r="L1574" s="3"/>
      <c r="M1574" s="3"/>
    </row>
    <row r="1575" spans="1:13" s="34" customFormat="1">
      <c r="A1575" s="73"/>
      <c r="B1575" s="3"/>
      <c r="C1575" s="3"/>
      <c r="D1575" s="3"/>
      <c r="E1575" s="3"/>
      <c r="F1575" s="3"/>
      <c r="G1575" s="3"/>
      <c r="H1575" s="3"/>
      <c r="I1575" s="3"/>
      <c r="J1575" s="3"/>
      <c r="K1575" s="3"/>
      <c r="L1575" s="3"/>
      <c r="M1575" s="3"/>
    </row>
    <row r="1576" spans="1:13" s="34" customFormat="1">
      <c r="A1576" s="73"/>
      <c r="B1576" s="3"/>
      <c r="C1576" s="3"/>
      <c r="D1576" s="3"/>
      <c r="E1576" s="3"/>
      <c r="F1576" s="3"/>
      <c r="G1576" s="3"/>
      <c r="H1576" s="3"/>
      <c r="I1576" s="3"/>
      <c r="J1576" s="3"/>
      <c r="K1576" s="3"/>
      <c r="L1576" s="3"/>
      <c r="M1576" s="3"/>
    </row>
    <row r="1577" spans="1:13" s="34" customFormat="1">
      <c r="A1577" s="73"/>
      <c r="B1577" s="3"/>
      <c r="C1577" s="3"/>
      <c r="D1577" s="3"/>
      <c r="E1577" s="3"/>
      <c r="F1577" s="3"/>
      <c r="G1577" s="3"/>
      <c r="H1577" s="3"/>
      <c r="I1577" s="3"/>
      <c r="J1577" s="3"/>
      <c r="K1577" s="3"/>
      <c r="L1577" s="3"/>
      <c r="M1577" s="3"/>
    </row>
    <row r="1578" spans="1:13" s="34" customFormat="1">
      <c r="A1578" s="73"/>
      <c r="B1578" s="3"/>
      <c r="C1578" s="3"/>
      <c r="D1578" s="3"/>
      <c r="E1578" s="3"/>
      <c r="F1578" s="3"/>
      <c r="G1578" s="3"/>
      <c r="H1578" s="3"/>
      <c r="I1578" s="3"/>
      <c r="J1578" s="3"/>
      <c r="K1578" s="3"/>
      <c r="L1578" s="3"/>
      <c r="M1578" s="3"/>
    </row>
    <row r="1579" spans="1:13" s="34" customFormat="1">
      <c r="A1579" s="73"/>
      <c r="B1579" s="3"/>
      <c r="C1579" s="3"/>
      <c r="D1579" s="3"/>
      <c r="E1579" s="3"/>
      <c r="F1579" s="3"/>
      <c r="G1579" s="3"/>
      <c r="H1579" s="3"/>
      <c r="I1579" s="3"/>
      <c r="J1579" s="3"/>
      <c r="K1579" s="3"/>
      <c r="L1579" s="3"/>
      <c r="M1579" s="3"/>
    </row>
    <row r="1580" spans="1:13" s="34" customFormat="1">
      <c r="A1580" s="73"/>
      <c r="B1580" s="3"/>
      <c r="C1580" s="3"/>
      <c r="D1580" s="3"/>
      <c r="E1580" s="3"/>
      <c r="F1580" s="3"/>
      <c r="G1580" s="3"/>
      <c r="H1580" s="3"/>
      <c r="I1580" s="3"/>
      <c r="J1580" s="3"/>
      <c r="K1580" s="3"/>
      <c r="L1580" s="3"/>
      <c r="M1580" s="3"/>
    </row>
    <row r="1581" spans="1:13" s="34" customFormat="1">
      <c r="A1581" s="73"/>
      <c r="B1581" s="3"/>
      <c r="C1581" s="3"/>
      <c r="D1581" s="3"/>
      <c r="E1581" s="3"/>
      <c r="F1581" s="3"/>
      <c r="G1581" s="3"/>
      <c r="H1581" s="3"/>
      <c r="I1581" s="3"/>
      <c r="J1581" s="3"/>
      <c r="K1581" s="3"/>
      <c r="L1581" s="3"/>
      <c r="M1581" s="3"/>
    </row>
    <row r="1582" spans="1:13" s="34" customFormat="1">
      <c r="A1582" s="73"/>
      <c r="B1582" s="3"/>
      <c r="C1582" s="3"/>
      <c r="D1582" s="3"/>
      <c r="E1582" s="3"/>
      <c r="F1582" s="3"/>
      <c r="G1582" s="3"/>
      <c r="H1582" s="3"/>
      <c r="I1582" s="3"/>
      <c r="J1582" s="3"/>
      <c r="K1582" s="3"/>
      <c r="L1582" s="3"/>
      <c r="M1582" s="3"/>
    </row>
    <row r="1583" spans="1:13" s="34" customFormat="1">
      <c r="A1583" s="73"/>
      <c r="B1583" s="3"/>
      <c r="C1583" s="3"/>
      <c r="D1583" s="3"/>
      <c r="E1583" s="3"/>
      <c r="F1583" s="3"/>
      <c r="G1583" s="3"/>
      <c r="H1583" s="3"/>
      <c r="I1583" s="3"/>
      <c r="J1583" s="3"/>
      <c r="K1583" s="3"/>
      <c r="L1583" s="3"/>
      <c r="M1583" s="3"/>
    </row>
    <row r="1584" spans="1:13" s="34" customFormat="1">
      <c r="A1584" s="73"/>
      <c r="B1584" s="3"/>
      <c r="C1584" s="3"/>
      <c r="D1584" s="3"/>
      <c r="E1584" s="3"/>
      <c r="F1584" s="3"/>
      <c r="G1584" s="3"/>
      <c r="H1584" s="3"/>
      <c r="I1584" s="3"/>
      <c r="J1584" s="3"/>
      <c r="K1584" s="3"/>
      <c r="L1584" s="3"/>
      <c r="M1584" s="3"/>
    </row>
    <row r="1585" spans="1:13" s="34" customFormat="1">
      <c r="A1585" s="73"/>
      <c r="B1585" s="3"/>
      <c r="C1585" s="3"/>
      <c r="D1585" s="3"/>
      <c r="E1585" s="3"/>
      <c r="F1585" s="3"/>
      <c r="G1585" s="3"/>
      <c r="H1585" s="3"/>
      <c r="I1585" s="3"/>
      <c r="J1585" s="3"/>
      <c r="K1585" s="3"/>
      <c r="L1585" s="3"/>
      <c r="M1585" s="3"/>
    </row>
    <row r="1586" spans="1:13" s="34" customFormat="1">
      <c r="A1586" s="73"/>
      <c r="B1586" s="3"/>
      <c r="C1586" s="3"/>
      <c r="D1586" s="3"/>
      <c r="E1586" s="3"/>
      <c r="F1586" s="3"/>
      <c r="G1586" s="3"/>
      <c r="H1586" s="3"/>
      <c r="I1586" s="3"/>
      <c r="J1586" s="3"/>
      <c r="K1586" s="3"/>
      <c r="L1586" s="3"/>
      <c r="M1586" s="3"/>
    </row>
    <row r="1587" spans="1:13" s="34" customFormat="1">
      <c r="A1587" s="73"/>
      <c r="B1587" s="3"/>
      <c r="C1587" s="3"/>
      <c r="D1587" s="3"/>
      <c r="E1587" s="3"/>
      <c r="F1587" s="3"/>
      <c r="G1587" s="3"/>
      <c r="H1587" s="3"/>
      <c r="I1587" s="3"/>
      <c r="J1587" s="3"/>
      <c r="K1587" s="3"/>
      <c r="L1587" s="3"/>
      <c r="M1587" s="3"/>
    </row>
    <row r="1588" spans="1:13" s="34" customFormat="1">
      <c r="A1588" s="73"/>
      <c r="B1588" s="3"/>
      <c r="C1588" s="3"/>
      <c r="D1588" s="3"/>
      <c r="E1588" s="3"/>
      <c r="F1588" s="3"/>
      <c r="G1588" s="3"/>
      <c r="H1588" s="3"/>
      <c r="I1588" s="3"/>
      <c r="J1588" s="3"/>
      <c r="K1588" s="3"/>
      <c r="L1588" s="3"/>
      <c r="M1588" s="3"/>
    </row>
    <row r="1589" spans="1:13" s="34" customFormat="1">
      <c r="A1589" s="73"/>
      <c r="B1589" s="3"/>
      <c r="C1589" s="3"/>
      <c r="D1589" s="3"/>
      <c r="E1589" s="3"/>
      <c r="F1589" s="3"/>
      <c r="G1589" s="3"/>
      <c r="H1589" s="3"/>
      <c r="I1589" s="3"/>
      <c r="J1589" s="3"/>
      <c r="K1589" s="3"/>
      <c r="L1589" s="3"/>
      <c r="M1589" s="3"/>
    </row>
    <row r="1590" spans="1:13" s="34" customFormat="1">
      <c r="A1590" s="73"/>
      <c r="B1590" s="3"/>
      <c r="C1590" s="3"/>
      <c r="D1590" s="3"/>
      <c r="E1590" s="3"/>
      <c r="F1590" s="3"/>
      <c r="G1590" s="3"/>
      <c r="H1590" s="3"/>
      <c r="I1590" s="3"/>
      <c r="J1590" s="3"/>
      <c r="K1590" s="3"/>
      <c r="L1590" s="3"/>
      <c r="M1590" s="3"/>
    </row>
    <row r="1591" spans="1:13" s="34" customFormat="1">
      <c r="A1591" s="73"/>
      <c r="B1591" s="3"/>
      <c r="C1591" s="3"/>
      <c r="D1591" s="3"/>
      <c r="E1591" s="3"/>
      <c r="F1591" s="3"/>
      <c r="G1591" s="3"/>
      <c r="H1591" s="3"/>
      <c r="I1591" s="3"/>
      <c r="J1591" s="3"/>
      <c r="K1591" s="3"/>
      <c r="L1591" s="3"/>
      <c r="M1591" s="3"/>
    </row>
    <row r="1592" spans="1:13" s="34" customFormat="1">
      <c r="A1592" s="73"/>
      <c r="B1592" s="3"/>
      <c r="C1592" s="3"/>
      <c r="D1592" s="3"/>
      <c r="E1592" s="3"/>
      <c r="F1592" s="3"/>
      <c r="G1592" s="3"/>
      <c r="H1592" s="3"/>
      <c r="I1592" s="3"/>
      <c r="J1592" s="3"/>
      <c r="K1592" s="3"/>
      <c r="L1592" s="3"/>
      <c r="M1592" s="3"/>
    </row>
    <row r="1593" spans="1:13" s="34" customFormat="1">
      <c r="A1593" s="73"/>
      <c r="B1593" s="3"/>
      <c r="C1593" s="3"/>
      <c r="D1593" s="3"/>
      <c r="E1593" s="3"/>
      <c r="F1593" s="3"/>
      <c r="G1593" s="3"/>
      <c r="H1593" s="3"/>
      <c r="I1593" s="3"/>
      <c r="J1593" s="3"/>
      <c r="K1593" s="3"/>
      <c r="L1593" s="3"/>
      <c r="M1593" s="3"/>
    </row>
    <row r="1594" spans="1:13" s="34" customFormat="1">
      <c r="A1594" s="73"/>
      <c r="B1594" s="3"/>
      <c r="C1594" s="3"/>
      <c r="D1594" s="3"/>
      <c r="E1594" s="3"/>
      <c r="F1594" s="3"/>
      <c r="G1594" s="3"/>
      <c r="H1594" s="3"/>
      <c r="I1594" s="3"/>
      <c r="J1594" s="3"/>
      <c r="K1594" s="3"/>
      <c r="L1594" s="3"/>
      <c r="M1594" s="3"/>
    </row>
    <row r="1595" spans="1:13" s="34" customFormat="1">
      <c r="A1595" s="73"/>
      <c r="B1595" s="3"/>
      <c r="C1595" s="3"/>
      <c r="D1595" s="3"/>
      <c r="E1595" s="3"/>
      <c r="F1595" s="3"/>
      <c r="G1595" s="3"/>
      <c r="H1595" s="3"/>
      <c r="I1595" s="3"/>
      <c r="J1595" s="3"/>
      <c r="K1595" s="3"/>
      <c r="L1595" s="3"/>
      <c r="M1595" s="3"/>
    </row>
    <row r="1596" spans="1:13" s="34" customFormat="1">
      <c r="A1596" s="73"/>
      <c r="B1596" s="3"/>
      <c r="C1596" s="3"/>
      <c r="D1596" s="3"/>
      <c r="E1596" s="3"/>
      <c r="F1596" s="3"/>
      <c r="G1596" s="3"/>
      <c r="H1596" s="3"/>
      <c r="I1596" s="3"/>
      <c r="J1596" s="3"/>
      <c r="K1596" s="3"/>
      <c r="L1596" s="3"/>
      <c r="M1596" s="3"/>
    </row>
    <row r="1597" spans="1:13" s="34" customFormat="1">
      <c r="A1597" s="73"/>
      <c r="B1597" s="3"/>
      <c r="C1597" s="3"/>
      <c r="D1597" s="3"/>
      <c r="E1597" s="3"/>
      <c r="F1597" s="3"/>
      <c r="G1597" s="3"/>
      <c r="H1597" s="3"/>
      <c r="I1597" s="3"/>
      <c r="J1597" s="3"/>
      <c r="K1597" s="3"/>
      <c r="L1597" s="3"/>
      <c r="M1597" s="3"/>
    </row>
    <row r="1598" spans="1:13" s="34" customFormat="1">
      <c r="A1598" s="73"/>
      <c r="B1598" s="3"/>
      <c r="C1598" s="3"/>
      <c r="D1598" s="3"/>
      <c r="E1598" s="3"/>
      <c r="F1598" s="3"/>
      <c r="G1598" s="3"/>
      <c r="H1598" s="3"/>
      <c r="I1598" s="3"/>
      <c r="J1598" s="3"/>
      <c r="K1598" s="3"/>
      <c r="L1598" s="3"/>
      <c r="M1598" s="3"/>
    </row>
    <row r="1599" spans="1:13" s="34" customFormat="1">
      <c r="A1599" s="73"/>
      <c r="B1599" s="3"/>
      <c r="C1599" s="3"/>
      <c r="D1599" s="3"/>
      <c r="E1599" s="3"/>
      <c r="F1599" s="3"/>
      <c r="G1599" s="3"/>
      <c r="H1599" s="3"/>
      <c r="I1599" s="3"/>
      <c r="J1599" s="3"/>
      <c r="K1599" s="3"/>
      <c r="L1599" s="3"/>
      <c r="M1599" s="3"/>
    </row>
    <row r="1600" spans="1:13" s="34" customFormat="1">
      <c r="A1600" s="73"/>
      <c r="B1600" s="3"/>
      <c r="C1600" s="3"/>
      <c r="D1600" s="3"/>
      <c r="E1600" s="3"/>
      <c r="F1600" s="3"/>
      <c r="G1600" s="3"/>
      <c r="H1600" s="3"/>
      <c r="I1600" s="3"/>
      <c r="J1600" s="3"/>
      <c r="K1600" s="3"/>
      <c r="L1600" s="3"/>
      <c r="M1600" s="3"/>
    </row>
    <row r="1601" spans="1:13" s="34" customFormat="1">
      <c r="A1601" s="73"/>
      <c r="B1601" s="3"/>
      <c r="C1601" s="3"/>
      <c r="D1601" s="3"/>
      <c r="E1601" s="3"/>
      <c r="F1601" s="3"/>
      <c r="G1601" s="3"/>
      <c r="H1601" s="3"/>
      <c r="I1601" s="3"/>
      <c r="J1601" s="3"/>
      <c r="K1601" s="3"/>
      <c r="L1601" s="3"/>
      <c r="M1601" s="3"/>
    </row>
    <row r="1602" spans="1:13" s="34" customFormat="1">
      <c r="A1602" s="73"/>
      <c r="B1602" s="3"/>
      <c r="C1602" s="3"/>
      <c r="D1602" s="3"/>
      <c r="E1602" s="3"/>
      <c r="F1602" s="3"/>
      <c r="G1602" s="3"/>
      <c r="H1602" s="3"/>
      <c r="I1602" s="3"/>
      <c r="J1602" s="3"/>
      <c r="K1602" s="3"/>
      <c r="L1602" s="3"/>
      <c r="M1602" s="3"/>
    </row>
    <row r="1603" spans="1:13" s="34" customFormat="1">
      <c r="A1603" s="73"/>
      <c r="B1603" s="3"/>
      <c r="C1603" s="3"/>
      <c r="D1603" s="3"/>
      <c r="E1603" s="3"/>
      <c r="F1603" s="3"/>
      <c r="G1603" s="3"/>
      <c r="H1603" s="3"/>
      <c r="I1603" s="3"/>
      <c r="J1603" s="3"/>
      <c r="K1603" s="3"/>
      <c r="L1603" s="3"/>
      <c r="M1603" s="3"/>
    </row>
    <row r="1604" spans="1:13" s="34" customFormat="1">
      <c r="A1604" s="73"/>
      <c r="B1604" s="3"/>
      <c r="C1604" s="3"/>
      <c r="D1604" s="3"/>
      <c r="E1604" s="3"/>
      <c r="F1604" s="3"/>
      <c r="G1604" s="3"/>
      <c r="H1604" s="3"/>
      <c r="I1604" s="3"/>
      <c r="J1604" s="3"/>
      <c r="K1604" s="3"/>
      <c r="L1604" s="3"/>
      <c r="M1604" s="3"/>
    </row>
    <row r="1605" spans="1:13" s="34" customFormat="1">
      <c r="A1605" s="73"/>
      <c r="B1605" s="3"/>
      <c r="C1605" s="3"/>
      <c r="D1605" s="3"/>
      <c r="E1605" s="3"/>
      <c r="F1605" s="3"/>
      <c r="G1605" s="3"/>
      <c r="H1605" s="3"/>
      <c r="I1605" s="3"/>
      <c r="J1605" s="3"/>
      <c r="K1605" s="3"/>
      <c r="L1605" s="3"/>
      <c r="M1605" s="3"/>
    </row>
    <row r="1606" spans="1:13" s="34" customFormat="1">
      <c r="A1606" s="73"/>
      <c r="B1606" s="3"/>
      <c r="C1606" s="3"/>
      <c r="D1606" s="3"/>
      <c r="E1606" s="3"/>
      <c r="F1606" s="3"/>
      <c r="G1606" s="3"/>
      <c r="H1606" s="3"/>
      <c r="I1606" s="3"/>
      <c r="J1606" s="3"/>
      <c r="K1606" s="3"/>
      <c r="L1606" s="3"/>
      <c r="M1606" s="3"/>
    </row>
    <row r="1607" spans="1:13" s="34" customFormat="1">
      <c r="A1607" s="73"/>
      <c r="B1607" s="3"/>
      <c r="C1607" s="3"/>
      <c r="D1607" s="3"/>
      <c r="E1607" s="3"/>
      <c r="F1607" s="3"/>
      <c r="G1607" s="3"/>
      <c r="H1607" s="3"/>
      <c r="I1607" s="3"/>
      <c r="J1607" s="3"/>
      <c r="K1607" s="3"/>
      <c r="L1607" s="3"/>
      <c r="M1607" s="3"/>
    </row>
    <row r="1608" spans="1:13" s="34" customFormat="1">
      <c r="A1608" s="73"/>
      <c r="B1608" s="3"/>
      <c r="C1608" s="3"/>
      <c r="D1608" s="3"/>
      <c r="E1608" s="3"/>
      <c r="F1608" s="3"/>
      <c r="G1608" s="3"/>
      <c r="H1608" s="3"/>
      <c r="I1608" s="3"/>
      <c r="J1608" s="3"/>
      <c r="K1608" s="3"/>
      <c r="L1608" s="3"/>
      <c r="M1608" s="3"/>
    </row>
    <row r="1609" spans="1:13" s="34" customFormat="1">
      <c r="A1609" s="73"/>
      <c r="B1609" s="3"/>
      <c r="C1609" s="3"/>
      <c r="D1609" s="3"/>
      <c r="E1609" s="3"/>
      <c r="F1609" s="3"/>
      <c r="G1609" s="3"/>
      <c r="H1609" s="3"/>
      <c r="I1609" s="3"/>
      <c r="J1609" s="3"/>
      <c r="K1609" s="3"/>
      <c r="L1609" s="3"/>
      <c r="M1609" s="3"/>
    </row>
    <row r="1610" spans="1:13" s="34" customFormat="1">
      <c r="A1610" s="73"/>
      <c r="B1610" s="3"/>
      <c r="C1610" s="3"/>
      <c r="D1610" s="3"/>
      <c r="E1610" s="3"/>
      <c r="F1610" s="3"/>
      <c r="G1610" s="3"/>
      <c r="H1610" s="3"/>
      <c r="I1610" s="3"/>
      <c r="J1610" s="3"/>
      <c r="K1610" s="3"/>
      <c r="L1610" s="3"/>
      <c r="M1610" s="3"/>
    </row>
    <row r="1611" spans="1:13" s="34" customFormat="1">
      <c r="A1611" s="73"/>
      <c r="B1611" s="3"/>
      <c r="C1611" s="3"/>
      <c r="D1611" s="3"/>
      <c r="E1611" s="3"/>
      <c r="F1611" s="3"/>
      <c r="G1611" s="3"/>
      <c r="H1611" s="3"/>
      <c r="I1611" s="3"/>
      <c r="J1611" s="3"/>
      <c r="K1611" s="3"/>
      <c r="L1611" s="3"/>
      <c r="M1611" s="3"/>
    </row>
    <row r="1612" spans="1:13" s="34" customFormat="1">
      <c r="A1612" s="73"/>
      <c r="B1612" s="3"/>
      <c r="C1612" s="3"/>
      <c r="D1612" s="3"/>
      <c r="E1612" s="3"/>
      <c r="F1612" s="3"/>
      <c r="G1612" s="3"/>
      <c r="H1612" s="3"/>
      <c r="I1612" s="3"/>
      <c r="J1612" s="3"/>
      <c r="K1612" s="3"/>
      <c r="L1612" s="3"/>
      <c r="M1612" s="3"/>
    </row>
    <row r="1613" spans="1:13" s="34" customFormat="1">
      <c r="A1613" s="73"/>
      <c r="B1613" s="3"/>
      <c r="C1613" s="3"/>
      <c r="D1613" s="3"/>
      <c r="E1613" s="3"/>
      <c r="F1613" s="3"/>
      <c r="G1613" s="3"/>
      <c r="H1613" s="3"/>
      <c r="I1613" s="3"/>
      <c r="J1613" s="3"/>
      <c r="K1613" s="3"/>
      <c r="L1613" s="3"/>
      <c r="M1613" s="3"/>
    </row>
    <row r="1614" spans="1:13" s="34" customFormat="1">
      <c r="A1614" s="73"/>
      <c r="B1614" s="3"/>
      <c r="C1614" s="3"/>
      <c r="D1614" s="3"/>
      <c r="E1614" s="3"/>
      <c r="F1614" s="3"/>
      <c r="G1614" s="3"/>
      <c r="H1614" s="3"/>
      <c r="I1614" s="3"/>
      <c r="J1614" s="3"/>
      <c r="K1614" s="3"/>
      <c r="L1614" s="3"/>
      <c r="M1614" s="3"/>
    </row>
    <row r="1615" spans="1:13" s="34" customFormat="1">
      <c r="A1615" s="73"/>
      <c r="B1615" s="3"/>
      <c r="C1615" s="3"/>
      <c r="D1615" s="3"/>
      <c r="E1615" s="3"/>
      <c r="F1615" s="3"/>
      <c r="G1615" s="3"/>
      <c r="H1615" s="3"/>
      <c r="I1615" s="3"/>
      <c r="J1615" s="3"/>
      <c r="K1615" s="3"/>
      <c r="L1615" s="3"/>
      <c r="M1615" s="3"/>
    </row>
    <row r="1616" spans="1:13" s="34" customFormat="1">
      <c r="A1616" s="73"/>
      <c r="B1616" s="3"/>
      <c r="C1616" s="3"/>
      <c r="D1616" s="3"/>
      <c r="E1616" s="3"/>
      <c r="F1616" s="3"/>
      <c r="G1616" s="3"/>
      <c r="H1616" s="3"/>
      <c r="I1616" s="3"/>
      <c r="J1616" s="3"/>
      <c r="K1616" s="3"/>
      <c r="L1616" s="3"/>
      <c r="M1616" s="3"/>
    </row>
    <row r="1617" spans="1:13" s="34" customFormat="1">
      <c r="A1617" s="73"/>
      <c r="B1617" s="3"/>
      <c r="C1617" s="3"/>
      <c r="D1617" s="3"/>
      <c r="E1617" s="3"/>
      <c r="F1617" s="3"/>
      <c r="G1617" s="3"/>
      <c r="H1617" s="3"/>
      <c r="I1617" s="3"/>
      <c r="J1617" s="3"/>
      <c r="K1617" s="3"/>
      <c r="L1617" s="3"/>
      <c r="M1617" s="3"/>
    </row>
    <row r="1618" spans="1:13" s="34" customFormat="1">
      <c r="A1618" s="73"/>
      <c r="B1618" s="3"/>
      <c r="C1618" s="3"/>
      <c r="D1618" s="3"/>
      <c r="E1618" s="3"/>
      <c r="F1618" s="3"/>
      <c r="G1618" s="3"/>
      <c r="H1618" s="3"/>
      <c r="I1618" s="3"/>
      <c r="J1618" s="3"/>
      <c r="K1618" s="3"/>
      <c r="L1618" s="3"/>
      <c r="M1618" s="3"/>
    </row>
    <row r="1619" spans="1:13" s="34" customFormat="1">
      <c r="A1619" s="73"/>
      <c r="B1619" s="3"/>
      <c r="C1619" s="3"/>
      <c r="D1619" s="3"/>
      <c r="E1619" s="3"/>
      <c r="F1619" s="3"/>
      <c r="G1619" s="3"/>
      <c r="H1619" s="3"/>
      <c r="I1619" s="3"/>
      <c r="J1619" s="3"/>
      <c r="K1619" s="3"/>
      <c r="L1619" s="3"/>
      <c r="M1619" s="3"/>
    </row>
    <row r="1620" spans="1:13" s="34" customFormat="1">
      <c r="A1620" s="73"/>
      <c r="B1620" s="3"/>
      <c r="C1620" s="3"/>
      <c r="D1620" s="3"/>
      <c r="E1620" s="3"/>
      <c r="F1620" s="3"/>
      <c r="G1620" s="3"/>
      <c r="H1620" s="3"/>
      <c r="I1620" s="3"/>
      <c r="J1620" s="3"/>
      <c r="K1620" s="3"/>
      <c r="L1620" s="3"/>
      <c r="M1620" s="3"/>
    </row>
    <row r="1621" spans="1:13" s="34" customFormat="1">
      <c r="A1621" s="73"/>
      <c r="B1621" s="3"/>
      <c r="C1621" s="3"/>
      <c r="D1621" s="3"/>
      <c r="E1621" s="3"/>
      <c r="F1621" s="3"/>
      <c r="G1621" s="3"/>
      <c r="H1621" s="3"/>
      <c r="I1621" s="3"/>
      <c r="J1621" s="3"/>
      <c r="K1621" s="3"/>
      <c r="L1621" s="3"/>
      <c r="M1621" s="3"/>
    </row>
    <row r="1622" spans="1:13" s="34" customFormat="1">
      <c r="A1622" s="73"/>
      <c r="B1622" s="3"/>
      <c r="C1622" s="3"/>
      <c r="D1622" s="3"/>
      <c r="E1622" s="3"/>
      <c r="F1622" s="3"/>
      <c r="G1622" s="3"/>
      <c r="H1622" s="3"/>
      <c r="I1622" s="3"/>
      <c r="J1622" s="3"/>
      <c r="K1622" s="3"/>
      <c r="L1622" s="3"/>
      <c r="M1622" s="3"/>
    </row>
    <row r="1623" spans="1:13" s="34" customFormat="1">
      <c r="A1623" s="73"/>
      <c r="B1623" s="3"/>
      <c r="C1623" s="3"/>
      <c r="D1623" s="3"/>
      <c r="E1623" s="3"/>
      <c r="F1623" s="3"/>
      <c r="G1623" s="3"/>
      <c r="H1623" s="3"/>
      <c r="I1623" s="3"/>
      <c r="J1623" s="3"/>
      <c r="K1623" s="3"/>
      <c r="L1623" s="3"/>
      <c r="M1623" s="3"/>
    </row>
    <row r="1624" spans="1:13" s="34" customFormat="1">
      <c r="A1624" s="73"/>
      <c r="B1624" s="3"/>
      <c r="C1624" s="3"/>
      <c r="D1624" s="3"/>
      <c r="E1624" s="3"/>
      <c r="F1624" s="3"/>
      <c r="G1624" s="3"/>
      <c r="H1624" s="3"/>
      <c r="I1624" s="3"/>
      <c r="J1624" s="3"/>
      <c r="K1624" s="3"/>
      <c r="L1624" s="3"/>
      <c r="M1624" s="3"/>
    </row>
    <row r="1625" spans="1:13" s="34" customFormat="1">
      <c r="A1625" s="73"/>
      <c r="B1625" s="3"/>
      <c r="C1625" s="3"/>
      <c r="D1625" s="3"/>
      <c r="E1625" s="3"/>
      <c r="F1625" s="3"/>
      <c r="G1625" s="3"/>
      <c r="H1625" s="3"/>
      <c r="I1625" s="3"/>
      <c r="J1625" s="3"/>
      <c r="K1625" s="3"/>
      <c r="L1625" s="3"/>
      <c r="M1625" s="3"/>
    </row>
    <row r="1626" spans="1:13" s="34" customFormat="1">
      <c r="A1626" s="73"/>
      <c r="B1626" s="3"/>
      <c r="C1626" s="3"/>
      <c r="D1626" s="3"/>
      <c r="E1626" s="3"/>
      <c r="F1626" s="3"/>
      <c r="G1626" s="3"/>
      <c r="H1626" s="3"/>
      <c r="I1626" s="3"/>
      <c r="J1626" s="3"/>
      <c r="K1626" s="3"/>
      <c r="L1626" s="3"/>
      <c r="M1626" s="3"/>
    </row>
    <row r="1627" spans="1:13" s="34" customFormat="1">
      <c r="A1627" s="73"/>
      <c r="B1627" s="3"/>
      <c r="C1627" s="3"/>
      <c r="D1627" s="3"/>
      <c r="E1627" s="3"/>
      <c r="F1627" s="3"/>
      <c r="G1627" s="3"/>
      <c r="H1627" s="3"/>
      <c r="I1627" s="3"/>
      <c r="J1627" s="3"/>
      <c r="K1627" s="3"/>
      <c r="L1627" s="3"/>
      <c r="M1627" s="3"/>
    </row>
    <row r="1628" spans="1:13" s="34" customFormat="1">
      <c r="A1628" s="73"/>
      <c r="B1628" s="3"/>
      <c r="C1628" s="3"/>
      <c r="D1628" s="3"/>
      <c r="E1628" s="3"/>
      <c r="F1628" s="3"/>
      <c r="G1628" s="3"/>
      <c r="H1628" s="3"/>
      <c r="I1628" s="3"/>
      <c r="J1628" s="3"/>
      <c r="K1628" s="3"/>
      <c r="L1628" s="3"/>
      <c r="M1628" s="3"/>
    </row>
    <row r="1629" spans="1:13" s="34" customFormat="1">
      <c r="A1629" s="73"/>
      <c r="B1629" s="3"/>
      <c r="C1629" s="3"/>
      <c r="D1629" s="3"/>
      <c r="E1629" s="3"/>
      <c r="F1629" s="3"/>
      <c r="G1629" s="3"/>
      <c r="H1629" s="3"/>
      <c r="I1629" s="3"/>
      <c r="J1629" s="3"/>
      <c r="K1629" s="3"/>
      <c r="L1629" s="3"/>
      <c r="M1629" s="3"/>
    </row>
    <row r="1630" spans="1:13" s="34" customFormat="1">
      <c r="A1630" s="73"/>
      <c r="B1630" s="3"/>
      <c r="C1630" s="3"/>
      <c r="D1630" s="3"/>
      <c r="E1630" s="3"/>
      <c r="F1630" s="3"/>
      <c r="G1630" s="3"/>
      <c r="H1630" s="3"/>
      <c r="I1630" s="3"/>
      <c r="J1630" s="3"/>
      <c r="K1630" s="3"/>
      <c r="L1630" s="3"/>
      <c r="M1630" s="3"/>
    </row>
    <row r="1631" spans="1:13" s="34" customFormat="1">
      <c r="A1631" s="73"/>
      <c r="B1631" s="3"/>
      <c r="C1631" s="3"/>
      <c r="D1631" s="3"/>
      <c r="E1631" s="3"/>
      <c r="F1631" s="3"/>
      <c r="G1631" s="3"/>
      <c r="H1631" s="3"/>
      <c r="I1631" s="3"/>
      <c r="J1631" s="3"/>
      <c r="K1631" s="3"/>
      <c r="L1631" s="3"/>
      <c r="M1631" s="3"/>
    </row>
    <row r="1632" spans="1:13" s="34" customFormat="1">
      <c r="A1632" s="73"/>
      <c r="B1632" s="3"/>
      <c r="C1632" s="3"/>
      <c r="D1632" s="3"/>
      <c r="E1632" s="3"/>
      <c r="F1632" s="3"/>
      <c r="G1632" s="3"/>
      <c r="H1632" s="3"/>
      <c r="I1632" s="3"/>
      <c r="J1632" s="3"/>
      <c r="K1632" s="3"/>
      <c r="L1632" s="3"/>
      <c r="M1632" s="3"/>
    </row>
    <row r="1633" spans="1:13" s="34" customFormat="1">
      <c r="A1633" s="73"/>
      <c r="B1633" s="3"/>
      <c r="C1633" s="3"/>
      <c r="D1633" s="3"/>
      <c r="E1633" s="3"/>
      <c r="F1633" s="3"/>
      <c r="G1633" s="3"/>
      <c r="H1633" s="3"/>
      <c r="I1633" s="3"/>
      <c r="J1633" s="3"/>
      <c r="K1633" s="3"/>
      <c r="L1633" s="3"/>
      <c r="M1633" s="3"/>
    </row>
    <row r="1634" spans="1:13" s="34" customFormat="1">
      <c r="A1634" s="73"/>
      <c r="B1634" s="3"/>
      <c r="C1634" s="3"/>
      <c r="D1634" s="3"/>
      <c r="E1634" s="3"/>
      <c r="F1634" s="3"/>
      <c r="G1634" s="3"/>
      <c r="H1634" s="3"/>
      <c r="I1634" s="3"/>
      <c r="J1634" s="3"/>
      <c r="K1634" s="3"/>
      <c r="L1634" s="3"/>
      <c r="M1634" s="3"/>
    </row>
    <row r="1635" spans="1:13" s="34" customFormat="1">
      <c r="A1635" s="73"/>
      <c r="B1635" s="3"/>
      <c r="C1635" s="3"/>
      <c r="D1635" s="3"/>
      <c r="E1635" s="3"/>
      <c r="F1635" s="3"/>
      <c r="G1635" s="3"/>
      <c r="H1635" s="3"/>
      <c r="I1635" s="3"/>
      <c r="J1635" s="3"/>
      <c r="K1635" s="3"/>
      <c r="L1635" s="3"/>
      <c r="M1635" s="3"/>
    </row>
    <row r="1636" spans="1:13" s="34" customFormat="1">
      <c r="A1636" s="73"/>
      <c r="B1636" s="3"/>
      <c r="C1636" s="3"/>
      <c r="D1636" s="3"/>
      <c r="E1636" s="3"/>
      <c r="F1636" s="3"/>
      <c r="G1636" s="3"/>
      <c r="H1636" s="3"/>
      <c r="I1636" s="3"/>
      <c r="J1636" s="3"/>
      <c r="K1636" s="3"/>
      <c r="L1636" s="3"/>
      <c r="M1636" s="3"/>
    </row>
    <row r="1637" spans="1:13" s="34" customFormat="1">
      <c r="A1637" s="73"/>
      <c r="B1637" s="3"/>
      <c r="C1637" s="3"/>
      <c r="D1637" s="3"/>
      <c r="E1637" s="3"/>
      <c r="F1637" s="3"/>
      <c r="G1637" s="3"/>
      <c r="H1637" s="3"/>
      <c r="I1637" s="3"/>
      <c r="J1637" s="3"/>
      <c r="K1637" s="3"/>
      <c r="L1637" s="3"/>
      <c r="M1637" s="3"/>
    </row>
    <row r="1638" spans="1:13" s="34" customFormat="1">
      <c r="A1638" s="73"/>
      <c r="B1638" s="3"/>
      <c r="C1638" s="3"/>
      <c r="D1638" s="3"/>
      <c r="E1638" s="3"/>
      <c r="F1638" s="3"/>
      <c r="G1638" s="3"/>
      <c r="H1638" s="3"/>
      <c r="I1638" s="3"/>
      <c r="J1638" s="3"/>
      <c r="K1638" s="3"/>
      <c r="L1638" s="3"/>
      <c r="M1638" s="3"/>
    </row>
    <row r="1639" spans="1:13" s="34" customFormat="1">
      <c r="A1639" s="73"/>
      <c r="B1639" s="3"/>
      <c r="C1639" s="3"/>
      <c r="D1639" s="3"/>
      <c r="E1639" s="3"/>
      <c r="F1639" s="3"/>
      <c r="G1639" s="3"/>
      <c r="H1639" s="3"/>
      <c r="I1639" s="3"/>
      <c r="J1639" s="3"/>
      <c r="K1639" s="3"/>
      <c r="L1639" s="3"/>
      <c r="M1639" s="3"/>
    </row>
    <row r="1640" spans="1:13" s="34" customFormat="1">
      <c r="A1640" s="73"/>
      <c r="B1640" s="3"/>
      <c r="C1640" s="3"/>
      <c r="D1640" s="3"/>
      <c r="E1640" s="3"/>
      <c r="F1640" s="3"/>
      <c r="G1640" s="3"/>
      <c r="H1640" s="3"/>
      <c r="I1640" s="3"/>
      <c r="J1640" s="3"/>
      <c r="K1640" s="3"/>
      <c r="L1640" s="3"/>
      <c r="M1640" s="3"/>
    </row>
    <row r="1641" spans="1:13" s="34" customFormat="1">
      <c r="A1641" s="73"/>
      <c r="B1641" s="3"/>
      <c r="C1641" s="3"/>
      <c r="D1641" s="3"/>
      <c r="E1641" s="3"/>
      <c r="F1641" s="3"/>
      <c r="G1641" s="3"/>
      <c r="H1641" s="3"/>
      <c r="I1641" s="3"/>
      <c r="J1641" s="3"/>
      <c r="K1641" s="3"/>
      <c r="L1641" s="3"/>
      <c r="M1641" s="3"/>
    </row>
    <row r="1642" spans="1:13" s="34" customFormat="1">
      <c r="A1642" s="73"/>
      <c r="B1642" s="3"/>
      <c r="C1642" s="3"/>
      <c r="D1642" s="3"/>
      <c r="E1642" s="3"/>
      <c r="F1642" s="3"/>
      <c r="G1642" s="3"/>
      <c r="H1642" s="3"/>
      <c r="I1642" s="3"/>
      <c r="J1642" s="3"/>
      <c r="K1642" s="3"/>
      <c r="L1642" s="3"/>
      <c r="M1642" s="3"/>
    </row>
    <row r="1643" spans="1:13" s="34" customFormat="1">
      <c r="A1643" s="73"/>
      <c r="B1643" s="3"/>
      <c r="C1643" s="3"/>
      <c r="D1643" s="3"/>
      <c r="E1643" s="3"/>
      <c r="F1643" s="3"/>
      <c r="G1643" s="3"/>
      <c r="H1643" s="3"/>
      <c r="I1643" s="3"/>
      <c r="J1643" s="3"/>
      <c r="K1643" s="3"/>
      <c r="L1643" s="3"/>
      <c r="M1643" s="3"/>
    </row>
    <row r="1644" spans="1:13" s="34" customFormat="1">
      <c r="A1644" s="73"/>
      <c r="B1644" s="3"/>
      <c r="C1644" s="3"/>
      <c r="D1644" s="3"/>
      <c r="E1644" s="3"/>
      <c r="F1644" s="3"/>
      <c r="G1644" s="3"/>
      <c r="H1644" s="3"/>
      <c r="I1644" s="3"/>
      <c r="J1644" s="3"/>
      <c r="K1644" s="3"/>
      <c r="L1644" s="3"/>
      <c r="M1644" s="3"/>
    </row>
    <row r="1645" spans="1:13" s="34" customFormat="1">
      <c r="A1645" s="73"/>
      <c r="B1645" s="3"/>
      <c r="C1645" s="3"/>
      <c r="D1645" s="3"/>
      <c r="E1645" s="3"/>
      <c r="F1645" s="3"/>
      <c r="G1645" s="3"/>
      <c r="H1645" s="3"/>
      <c r="I1645" s="3"/>
      <c r="J1645" s="3"/>
      <c r="K1645" s="3"/>
      <c r="L1645" s="3"/>
      <c r="M1645" s="3"/>
    </row>
    <row r="1646" spans="1:13" s="34" customFormat="1">
      <c r="A1646" s="73"/>
      <c r="B1646" s="3"/>
      <c r="C1646" s="3"/>
      <c r="D1646" s="3"/>
      <c r="E1646" s="3"/>
      <c r="F1646" s="3"/>
      <c r="G1646" s="3"/>
      <c r="H1646" s="3"/>
      <c r="I1646" s="3"/>
      <c r="J1646" s="3"/>
      <c r="K1646" s="3"/>
      <c r="L1646" s="3"/>
      <c r="M1646" s="3"/>
    </row>
    <row r="1647" spans="1:13" s="34" customFormat="1">
      <c r="A1647" s="73"/>
      <c r="B1647" s="3"/>
      <c r="C1647" s="3"/>
      <c r="D1647" s="3"/>
      <c r="E1647" s="3"/>
      <c r="F1647" s="3"/>
      <c r="G1647" s="3"/>
      <c r="H1647" s="3"/>
      <c r="I1647" s="3"/>
      <c r="J1647" s="3"/>
      <c r="K1647" s="3"/>
      <c r="L1647" s="3"/>
      <c r="M1647" s="3"/>
    </row>
    <row r="1648" spans="1:13" s="34" customFormat="1">
      <c r="A1648" s="73"/>
      <c r="B1648" s="3"/>
      <c r="C1648" s="3"/>
      <c r="D1648" s="3"/>
      <c r="E1648" s="3"/>
      <c r="F1648" s="3"/>
      <c r="G1648" s="3"/>
      <c r="H1648" s="3"/>
      <c r="I1648" s="3"/>
      <c r="J1648" s="3"/>
      <c r="K1648" s="3"/>
      <c r="L1648" s="3"/>
      <c r="M1648" s="3"/>
    </row>
    <row r="1649" spans="1:13" s="34" customFormat="1">
      <c r="A1649" s="73"/>
      <c r="B1649" s="3"/>
      <c r="C1649" s="3"/>
      <c r="D1649" s="3"/>
      <c r="E1649" s="3"/>
      <c r="F1649" s="3"/>
      <c r="G1649" s="3"/>
      <c r="H1649" s="3"/>
      <c r="I1649" s="3"/>
      <c r="J1649" s="3"/>
      <c r="K1649" s="3"/>
      <c r="L1649" s="3"/>
      <c r="M1649" s="3"/>
    </row>
    <row r="1650" spans="1:13" s="34" customFormat="1">
      <c r="A1650" s="73"/>
      <c r="B1650" s="3"/>
      <c r="C1650" s="3"/>
      <c r="D1650" s="3"/>
      <c r="E1650" s="3"/>
      <c r="F1650" s="3"/>
      <c r="G1650" s="3"/>
      <c r="H1650" s="3"/>
      <c r="I1650" s="3"/>
      <c r="J1650" s="3"/>
      <c r="K1650" s="3"/>
      <c r="L1650" s="3"/>
      <c r="M1650" s="3"/>
    </row>
    <row r="1651" spans="1:13" s="34" customFormat="1">
      <c r="A1651" s="73"/>
      <c r="B1651" s="3"/>
      <c r="C1651" s="3"/>
      <c r="D1651" s="3"/>
      <c r="E1651" s="3"/>
      <c r="F1651" s="3"/>
      <c r="G1651" s="3"/>
      <c r="H1651" s="3"/>
      <c r="I1651" s="3"/>
      <c r="J1651" s="3"/>
      <c r="K1651" s="3"/>
      <c r="L1651" s="3"/>
      <c r="M1651" s="3"/>
    </row>
    <row r="1652" spans="1:13" s="34" customFormat="1">
      <c r="A1652" s="73"/>
      <c r="B1652" s="3"/>
      <c r="C1652" s="3"/>
      <c r="D1652" s="3"/>
      <c r="E1652" s="3"/>
      <c r="F1652" s="3"/>
      <c r="G1652" s="3"/>
      <c r="H1652" s="3"/>
      <c r="I1652" s="3"/>
      <c r="J1652" s="3"/>
      <c r="K1652" s="3"/>
      <c r="L1652" s="3"/>
      <c r="M1652" s="3"/>
    </row>
    <row r="1653" spans="1:13" s="34" customFormat="1">
      <c r="A1653" s="73"/>
      <c r="B1653" s="3"/>
      <c r="C1653" s="3"/>
      <c r="D1653" s="3"/>
      <c r="E1653" s="3"/>
      <c r="F1653" s="3"/>
      <c r="G1653" s="3"/>
      <c r="H1653" s="3"/>
      <c r="I1653" s="3"/>
      <c r="J1653" s="3"/>
      <c r="K1653" s="3"/>
      <c r="L1653" s="3"/>
      <c r="M1653" s="3"/>
    </row>
    <row r="1654" spans="1:13" s="34" customFormat="1">
      <c r="A1654" s="73"/>
      <c r="B1654" s="3"/>
      <c r="C1654" s="3"/>
      <c r="D1654" s="3"/>
      <c r="E1654" s="3"/>
      <c r="F1654" s="3"/>
      <c r="G1654" s="3"/>
      <c r="H1654" s="3"/>
      <c r="I1654" s="3"/>
      <c r="J1654" s="3"/>
      <c r="K1654" s="3"/>
      <c r="L1654" s="3"/>
      <c r="M1654" s="3"/>
    </row>
    <row r="1655" spans="1:13" s="34" customFormat="1">
      <c r="A1655" s="73"/>
      <c r="B1655" s="3"/>
      <c r="C1655" s="3"/>
      <c r="D1655" s="3"/>
      <c r="E1655" s="3"/>
      <c r="F1655" s="3"/>
      <c r="G1655" s="3"/>
      <c r="H1655" s="3"/>
      <c r="I1655" s="3"/>
      <c r="J1655" s="3"/>
      <c r="K1655" s="3"/>
      <c r="L1655" s="3"/>
      <c r="M1655" s="3"/>
    </row>
    <row r="1656" spans="1:13" s="34" customFormat="1">
      <c r="A1656" s="73"/>
      <c r="B1656" s="3"/>
      <c r="C1656" s="3"/>
      <c r="D1656" s="3"/>
      <c r="E1656" s="3"/>
      <c r="F1656" s="3"/>
      <c r="G1656" s="3"/>
      <c r="H1656" s="3"/>
      <c r="I1656" s="3"/>
      <c r="J1656" s="3"/>
      <c r="K1656" s="3"/>
      <c r="L1656" s="3"/>
      <c r="M1656" s="3"/>
    </row>
    <row r="1657" spans="1:13" s="34" customFormat="1">
      <c r="A1657" s="73"/>
      <c r="B1657" s="3"/>
      <c r="C1657" s="3"/>
      <c r="D1657" s="3"/>
      <c r="E1657" s="3"/>
      <c r="F1657" s="3"/>
      <c r="G1657" s="3"/>
      <c r="H1657" s="3"/>
      <c r="I1657" s="3"/>
      <c r="J1657" s="3"/>
      <c r="K1657" s="3"/>
      <c r="L1657" s="3"/>
      <c r="M1657" s="3"/>
    </row>
    <row r="1658" spans="1:13" s="34" customFormat="1">
      <c r="A1658" s="73"/>
      <c r="B1658" s="3"/>
      <c r="C1658" s="3"/>
      <c r="D1658" s="3"/>
      <c r="E1658" s="3"/>
      <c r="F1658" s="3"/>
      <c r="G1658" s="3"/>
      <c r="H1658" s="3"/>
      <c r="I1658" s="3"/>
      <c r="J1658" s="3"/>
      <c r="K1658" s="3"/>
      <c r="L1658" s="3"/>
      <c r="M1658" s="3"/>
    </row>
    <row r="1659" spans="1:13" s="34" customFormat="1">
      <c r="A1659" s="73"/>
      <c r="B1659" s="3"/>
      <c r="C1659" s="3"/>
      <c r="D1659" s="3"/>
      <c r="E1659" s="3"/>
      <c r="F1659" s="3"/>
      <c r="G1659" s="3"/>
      <c r="H1659" s="3"/>
      <c r="I1659" s="3"/>
      <c r="J1659" s="3"/>
      <c r="K1659" s="3"/>
      <c r="L1659" s="3"/>
      <c r="M1659" s="3"/>
    </row>
    <row r="1660" spans="1:13" s="34" customFormat="1">
      <c r="A1660" s="73"/>
      <c r="B1660" s="3"/>
      <c r="C1660" s="3"/>
      <c r="D1660" s="3"/>
      <c r="E1660" s="3"/>
      <c r="F1660" s="3"/>
      <c r="G1660" s="3"/>
      <c r="H1660" s="3"/>
      <c r="I1660" s="3"/>
      <c r="J1660" s="3"/>
      <c r="K1660" s="3"/>
      <c r="L1660" s="3"/>
      <c r="M1660" s="3"/>
    </row>
    <row r="1661" spans="1:13" s="34" customFormat="1">
      <c r="A1661" s="73"/>
      <c r="B1661" s="3"/>
      <c r="C1661" s="3"/>
      <c r="D1661" s="3"/>
      <c r="E1661" s="3"/>
      <c r="F1661" s="3"/>
      <c r="G1661" s="3"/>
      <c r="H1661" s="3"/>
      <c r="I1661" s="3"/>
      <c r="J1661" s="3"/>
      <c r="K1661" s="3"/>
      <c r="L1661" s="3"/>
      <c r="M1661" s="3"/>
    </row>
    <row r="1662" spans="1:13" s="34" customFormat="1">
      <c r="A1662" s="73"/>
      <c r="B1662" s="3"/>
      <c r="C1662" s="3"/>
      <c r="D1662" s="3"/>
      <c r="E1662" s="3"/>
      <c r="F1662" s="3"/>
      <c r="G1662" s="3"/>
      <c r="H1662" s="3"/>
      <c r="I1662" s="3"/>
      <c r="J1662" s="3"/>
      <c r="K1662" s="3"/>
      <c r="L1662" s="3"/>
      <c r="M1662" s="3"/>
    </row>
    <row r="1663" spans="1:13" s="34" customFormat="1">
      <c r="A1663" s="73"/>
      <c r="B1663" s="3"/>
      <c r="C1663" s="3"/>
      <c r="D1663" s="3"/>
      <c r="E1663" s="3"/>
      <c r="F1663" s="3"/>
      <c r="G1663" s="3"/>
      <c r="H1663" s="3"/>
      <c r="I1663" s="3"/>
      <c r="J1663" s="3"/>
      <c r="K1663" s="3"/>
      <c r="L1663" s="3"/>
      <c r="M1663" s="3"/>
    </row>
    <row r="1664" spans="1:13" s="34" customFormat="1">
      <c r="A1664" s="73"/>
      <c r="B1664" s="3"/>
      <c r="C1664" s="3"/>
      <c r="D1664" s="3"/>
      <c r="E1664" s="3"/>
      <c r="F1664" s="3"/>
      <c r="G1664" s="3"/>
      <c r="H1664" s="3"/>
      <c r="I1664" s="3"/>
      <c r="J1664" s="3"/>
      <c r="K1664" s="3"/>
      <c r="L1664" s="3"/>
      <c r="M1664" s="3"/>
    </row>
    <row r="1665" spans="1:13" s="34" customFormat="1">
      <c r="A1665" s="73"/>
      <c r="B1665" s="3"/>
      <c r="C1665" s="3"/>
      <c r="D1665" s="3"/>
      <c r="E1665" s="3"/>
      <c r="F1665" s="3"/>
      <c r="G1665" s="3"/>
      <c r="H1665" s="3"/>
      <c r="I1665" s="3"/>
      <c r="J1665" s="3"/>
      <c r="K1665" s="3"/>
      <c r="L1665" s="3"/>
      <c r="M1665" s="3"/>
    </row>
    <row r="1666" spans="1:13" s="34" customFormat="1">
      <c r="A1666" s="73"/>
      <c r="B1666" s="3"/>
      <c r="C1666" s="3"/>
      <c r="D1666" s="3"/>
      <c r="E1666" s="3"/>
      <c r="F1666" s="3"/>
      <c r="G1666" s="3"/>
      <c r="H1666" s="3"/>
      <c r="I1666" s="3"/>
      <c r="J1666" s="3"/>
      <c r="K1666" s="3"/>
      <c r="L1666" s="3"/>
      <c r="M1666" s="3"/>
    </row>
    <row r="1667" spans="1:13" s="34" customFormat="1">
      <c r="A1667" s="73"/>
      <c r="B1667" s="3"/>
      <c r="C1667" s="3"/>
      <c r="D1667" s="3"/>
      <c r="E1667" s="3"/>
      <c r="F1667" s="3"/>
      <c r="G1667" s="3"/>
      <c r="H1667" s="3"/>
      <c r="I1667" s="3"/>
      <c r="J1667" s="3"/>
      <c r="K1667" s="3"/>
      <c r="L1667" s="3"/>
      <c r="M1667" s="3"/>
    </row>
    <row r="1668" spans="1:13" s="34" customFormat="1">
      <c r="A1668" s="73"/>
      <c r="B1668" s="3"/>
      <c r="C1668" s="3"/>
      <c r="D1668" s="3"/>
      <c r="E1668" s="3"/>
      <c r="F1668" s="3"/>
      <c r="G1668" s="3"/>
      <c r="H1668" s="3"/>
      <c r="I1668" s="3"/>
      <c r="J1668" s="3"/>
      <c r="K1668" s="3"/>
      <c r="L1668" s="3"/>
      <c r="M1668" s="3"/>
    </row>
    <row r="1669" spans="1:13" s="34" customFormat="1">
      <c r="A1669" s="73"/>
      <c r="B1669" s="3"/>
      <c r="C1669" s="3"/>
      <c r="D1669" s="3"/>
      <c r="E1669" s="3"/>
      <c r="F1669" s="3"/>
      <c r="G1669" s="3"/>
      <c r="H1669" s="3"/>
      <c r="I1669" s="3"/>
      <c r="J1669" s="3"/>
      <c r="K1669" s="3"/>
      <c r="L1669" s="3"/>
      <c r="M1669" s="3"/>
    </row>
    <row r="1670" spans="1:13" s="34" customFormat="1">
      <c r="A1670" s="73"/>
      <c r="B1670" s="3"/>
      <c r="C1670" s="3"/>
      <c r="D1670" s="3"/>
      <c r="E1670" s="3"/>
      <c r="F1670" s="3"/>
      <c r="G1670" s="3"/>
      <c r="H1670" s="3"/>
      <c r="I1670" s="3"/>
      <c r="J1670" s="3"/>
      <c r="K1670" s="3"/>
      <c r="L1670" s="3"/>
      <c r="M1670" s="3"/>
    </row>
    <row r="1671" spans="1:13" s="34" customFormat="1">
      <c r="A1671" s="73"/>
      <c r="B1671" s="3"/>
      <c r="C1671" s="3"/>
      <c r="D1671" s="3"/>
      <c r="E1671" s="3"/>
      <c r="F1671" s="3"/>
      <c r="G1671" s="3"/>
      <c r="H1671" s="3"/>
      <c r="I1671" s="3"/>
      <c r="J1671" s="3"/>
      <c r="K1671" s="3"/>
      <c r="L1671" s="3"/>
      <c r="M1671" s="3"/>
    </row>
    <row r="1672" spans="1:13" s="34" customFormat="1">
      <c r="A1672" s="73"/>
      <c r="B1672" s="3"/>
      <c r="C1672" s="3"/>
      <c r="D1672" s="3"/>
      <c r="E1672" s="3"/>
      <c r="F1672" s="3"/>
      <c r="G1672" s="3"/>
      <c r="H1672" s="3"/>
      <c r="I1672" s="3"/>
      <c r="J1672" s="3"/>
      <c r="K1672" s="3"/>
      <c r="L1672" s="3"/>
      <c r="M1672" s="3"/>
    </row>
    <row r="1673" spans="1:13" s="34" customFormat="1">
      <c r="A1673" s="73"/>
      <c r="B1673" s="3"/>
      <c r="C1673" s="3"/>
      <c r="D1673" s="3"/>
      <c r="E1673" s="3"/>
      <c r="F1673" s="3"/>
      <c r="G1673" s="3"/>
      <c r="H1673" s="3"/>
      <c r="I1673" s="3"/>
      <c r="J1673" s="3"/>
      <c r="K1673" s="3"/>
      <c r="L1673" s="3"/>
      <c r="M1673" s="3"/>
    </row>
    <row r="1674" spans="1:13" s="34" customFormat="1">
      <c r="A1674" s="73"/>
      <c r="B1674" s="3"/>
      <c r="C1674" s="3"/>
      <c r="D1674" s="3"/>
      <c r="E1674" s="3"/>
      <c r="F1674" s="3"/>
      <c r="G1674" s="3"/>
      <c r="H1674" s="3"/>
      <c r="I1674" s="3"/>
      <c r="J1674" s="3"/>
      <c r="K1674" s="3"/>
      <c r="L1674" s="3"/>
      <c r="M1674" s="3"/>
    </row>
    <row r="1675" spans="1:13" s="34" customFormat="1">
      <c r="A1675" s="73"/>
      <c r="B1675" s="3"/>
      <c r="C1675" s="3"/>
      <c r="D1675" s="3"/>
      <c r="E1675" s="3"/>
      <c r="F1675" s="3"/>
      <c r="G1675" s="3"/>
      <c r="H1675" s="3"/>
      <c r="I1675" s="3"/>
      <c r="J1675" s="3"/>
      <c r="K1675" s="3"/>
      <c r="L1675" s="3"/>
      <c r="M1675" s="3"/>
    </row>
    <row r="1676" spans="1:13" s="34" customFormat="1">
      <c r="A1676" s="73"/>
      <c r="B1676" s="3"/>
      <c r="C1676" s="3"/>
      <c r="D1676" s="3"/>
      <c r="E1676" s="3"/>
      <c r="F1676" s="3"/>
      <c r="G1676" s="3"/>
      <c r="H1676" s="3"/>
      <c r="I1676" s="3"/>
      <c r="J1676" s="3"/>
      <c r="K1676" s="3"/>
      <c r="L1676" s="3"/>
      <c r="M1676" s="3"/>
    </row>
    <row r="1677" spans="1:13" s="34" customFormat="1">
      <c r="A1677" s="73"/>
      <c r="B1677" s="3"/>
      <c r="C1677" s="3"/>
      <c r="D1677" s="3"/>
      <c r="E1677" s="3"/>
      <c r="F1677" s="3"/>
      <c r="G1677" s="3"/>
      <c r="H1677" s="3"/>
      <c r="I1677" s="3"/>
      <c r="J1677" s="3"/>
      <c r="K1677" s="3"/>
      <c r="L1677" s="3"/>
      <c r="M1677" s="3"/>
    </row>
    <row r="1678" spans="1:13" s="34" customFormat="1">
      <c r="A1678" s="73"/>
      <c r="B1678" s="3"/>
      <c r="C1678" s="3"/>
      <c r="D1678" s="3"/>
      <c r="E1678" s="3"/>
      <c r="F1678" s="3"/>
      <c r="G1678" s="3"/>
      <c r="H1678" s="3"/>
      <c r="I1678" s="3"/>
      <c r="J1678" s="3"/>
      <c r="K1678" s="3"/>
      <c r="L1678" s="3"/>
      <c r="M1678" s="3"/>
    </row>
    <row r="1679" spans="1:13" s="34" customFormat="1">
      <c r="A1679" s="73"/>
      <c r="B1679" s="3"/>
      <c r="C1679" s="3"/>
      <c r="D1679" s="3"/>
      <c r="E1679" s="3"/>
      <c r="F1679" s="3"/>
      <c r="G1679" s="3"/>
      <c r="H1679" s="3"/>
      <c r="I1679" s="3"/>
      <c r="J1679" s="3"/>
      <c r="K1679" s="3"/>
      <c r="L1679" s="3"/>
      <c r="M1679" s="3"/>
    </row>
    <row r="1680" spans="1:13" s="34" customFormat="1">
      <c r="A1680" s="73"/>
      <c r="B1680" s="3"/>
      <c r="C1680" s="3"/>
      <c r="D1680" s="3"/>
      <c r="E1680" s="3"/>
      <c r="F1680" s="3"/>
      <c r="G1680" s="3"/>
      <c r="H1680" s="3"/>
      <c r="I1680" s="3"/>
      <c r="J1680" s="3"/>
      <c r="K1680" s="3"/>
      <c r="L1680" s="3"/>
      <c r="M1680" s="3"/>
    </row>
    <row r="1681" spans="1:13" s="34" customFormat="1">
      <c r="A1681" s="73"/>
      <c r="B1681" s="3"/>
      <c r="C1681" s="3"/>
      <c r="D1681" s="3"/>
      <c r="E1681" s="3"/>
      <c r="F1681" s="3"/>
      <c r="G1681" s="3"/>
      <c r="H1681" s="3"/>
      <c r="I1681" s="3"/>
      <c r="J1681" s="3"/>
      <c r="K1681" s="3"/>
      <c r="L1681" s="3"/>
      <c r="M1681" s="3"/>
    </row>
    <row r="1682" spans="1:13" s="34" customFormat="1">
      <c r="A1682" s="73"/>
      <c r="B1682" s="3"/>
      <c r="C1682" s="3"/>
      <c r="D1682" s="3"/>
      <c r="E1682" s="3"/>
      <c r="F1682" s="3"/>
      <c r="G1682" s="3"/>
      <c r="H1682" s="3"/>
      <c r="I1682" s="3"/>
      <c r="J1682" s="3"/>
      <c r="K1682" s="3"/>
      <c r="L1682" s="3"/>
      <c r="M1682" s="3"/>
    </row>
    <row r="1683" spans="1:13" s="34" customFormat="1">
      <c r="A1683" s="73"/>
      <c r="B1683" s="3"/>
      <c r="C1683" s="3"/>
      <c r="D1683" s="3"/>
      <c r="E1683" s="3"/>
      <c r="F1683" s="3"/>
      <c r="G1683" s="3"/>
      <c r="H1683" s="3"/>
      <c r="I1683" s="3"/>
      <c r="J1683" s="3"/>
      <c r="K1683" s="3"/>
      <c r="L1683" s="3"/>
      <c r="M1683" s="3"/>
    </row>
    <row r="1684" spans="1:13" s="34" customFormat="1">
      <c r="A1684" s="73"/>
      <c r="B1684" s="3"/>
      <c r="C1684" s="3"/>
      <c r="D1684" s="3"/>
      <c r="E1684" s="3"/>
      <c r="F1684" s="3"/>
      <c r="G1684" s="3"/>
      <c r="H1684" s="3"/>
      <c r="I1684" s="3"/>
      <c r="J1684" s="3"/>
      <c r="K1684" s="3"/>
      <c r="L1684" s="3"/>
      <c r="M1684" s="3"/>
    </row>
    <row r="1685" spans="1:13" s="34" customFormat="1">
      <c r="A1685" s="73"/>
      <c r="B1685" s="3"/>
      <c r="C1685" s="3"/>
      <c r="D1685" s="3"/>
      <c r="E1685" s="3"/>
      <c r="F1685" s="3"/>
      <c r="G1685" s="3"/>
      <c r="H1685" s="3"/>
      <c r="I1685" s="3"/>
      <c r="J1685" s="3"/>
      <c r="K1685" s="3"/>
      <c r="L1685" s="3"/>
      <c r="M1685" s="3"/>
    </row>
    <row r="1686" spans="1:13" s="34" customFormat="1">
      <c r="A1686" s="73"/>
      <c r="B1686" s="3"/>
      <c r="C1686" s="3"/>
      <c r="D1686" s="3"/>
      <c r="E1686" s="3"/>
      <c r="F1686" s="3"/>
      <c r="G1686" s="3"/>
      <c r="H1686" s="3"/>
      <c r="I1686" s="3"/>
      <c r="J1686" s="3"/>
      <c r="K1686" s="3"/>
      <c r="L1686" s="3"/>
      <c r="M1686" s="3"/>
    </row>
    <row r="1687" spans="1:13" s="34" customFormat="1">
      <c r="A1687" s="73"/>
      <c r="B1687" s="3"/>
      <c r="C1687" s="3"/>
      <c r="D1687" s="3"/>
      <c r="E1687" s="3"/>
      <c r="F1687" s="3"/>
      <c r="G1687" s="3"/>
      <c r="H1687" s="3"/>
      <c r="I1687" s="3"/>
      <c r="J1687" s="3"/>
      <c r="K1687" s="3"/>
      <c r="L1687" s="3"/>
      <c r="M1687" s="3"/>
    </row>
    <row r="1688" spans="1:13" s="34" customFormat="1">
      <c r="A1688" s="73"/>
      <c r="B1688" s="3"/>
      <c r="C1688" s="3"/>
      <c r="D1688" s="3"/>
      <c r="E1688" s="3"/>
      <c r="F1688" s="3"/>
      <c r="G1688" s="3"/>
      <c r="H1688" s="3"/>
      <c r="I1688" s="3"/>
      <c r="J1688" s="3"/>
      <c r="K1688" s="3"/>
      <c r="L1688" s="3"/>
      <c r="M1688" s="3"/>
    </row>
    <row r="1689" spans="1:13" s="34" customFormat="1">
      <c r="A1689" s="73"/>
      <c r="B1689" s="3"/>
      <c r="C1689" s="3"/>
      <c r="D1689" s="3"/>
      <c r="E1689" s="3"/>
      <c r="F1689" s="3"/>
      <c r="G1689" s="3"/>
      <c r="H1689" s="3"/>
      <c r="I1689" s="3"/>
      <c r="J1689" s="3"/>
      <c r="K1689" s="3"/>
      <c r="L1689" s="3"/>
      <c r="M1689" s="3"/>
    </row>
    <row r="1690" spans="1:13" s="34" customFormat="1">
      <c r="A1690" s="73"/>
      <c r="B1690" s="3"/>
      <c r="C1690" s="3"/>
      <c r="D1690" s="3"/>
      <c r="E1690" s="3"/>
      <c r="F1690" s="3"/>
      <c r="G1690" s="3"/>
      <c r="H1690" s="3"/>
      <c r="I1690" s="3"/>
      <c r="J1690" s="3"/>
      <c r="K1690" s="3"/>
      <c r="L1690" s="3"/>
      <c r="M1690" s="3"/>
    </row>
    <row r="1691" spans="1:13" s="34" customFormat="1">
      <c r="A1691" s="73"/>
      <c r="B1691" s="3"/>
      <c r="C1691" s="3"/>
      <c r="D1691" s="3"/>
      <c r="E1691" s="3"/>
      <c r="F1691" s="3"/>
      <c r="G1691" s="3"/>
      <c r="H1691" s="3"/>
      <c r="I1691" s="3"/>
      <c r="J1691" s="3"/>
      <c r="K1691" s="3"/>
      <c r="L1691" s="3"/>
      <c r="M1691" s="3"/>
    </row>
    <row r="1692" spans="1:13" s="34" customFormat="1">
      <c r="A1692" s="73"/>
      <c r="B1692" s="3"/>
      <c r="C1692" s="3"/>
      <c r="D1692" s="3"/>
      <c r="E1692" s="3"/>
      <c r="F1692" s="3"/>
      <c r="G1692" s="3"/>
      <c r="H1692" s="3"/>
      <c r="I1692" s="3"/>
      <c r="J1692" s="3"/>
      <c r="K1692" s="3"/>
      <c r="L1692" s="3"/>
      <c r="M1692" s="3"/>
    </row>
    <row r="1693" spans="1:13" s="34" customFormat="1">
      <c r="A1693" s="73"/>
      <c r="B1693" s="3"/>
      <c r="C1693" s="3"/>
      <c r="D1693" s="3"/>
      <c r="E1693" s="3"/>
      <c r="F1693" s="3"/>
      <c r="G1693" s="3"/>
      <c r="H1693" s="3"/>
      <c r="I1693" s="3"/>
      <c r="J1693" s="3"/>
      <c r="K1693" s="3"/>
      <c r="L1693" s="3"/>
      <c r="M1693" s="3"/>
    </row>
    <row r="1694" spans="1:13" s="34" customFormat="1">
      <c r="A1694" s="73"/>
      <c r="B1694" s="3"/>
      <c r="C1694" s="3"/>
      <c r="D1694" s="3"/>
      <c r="E1694" s="3"/>
      <c r="F1694" s="3"/>
      <c r="G1694" s="3"/>
      <c r="H1694" s="3"/>
      <c r="I1694" s="3"/>
      <c r="J1694" s="3"/>
      <c r="K1694" s="3"/>
      <c r="L1694" s="3"/>
      <c r="M1694" s="3"/>
    </row>
    <row r="1695" spans="1:13" s="34" customFormat="1">
      <c r="A1695" s="73"/>
      <c r="B1695" s="3"/>
      <c r="C1695" s="3"/>
      <c r="D1695" s="3"/>
      <c r="E1695" s="3"/>
      <c r="F1695" s="3"/>
      <c r="G1695" s="3"/>
      <c r="H1695" s="3"/>
      <c r="I1695" s="3"/>
      <c r="J1695" s="3"/>
      <c r="K1695" s="3"/>
      <c r="L1695" s="3"/>
      <c r="M1695" s="3"/>
    </row>
    <row r="1696" spans="1:13" s="34" customFormat="1">
      <c r="A1696" s="73"/>
      <c r="B1696" s="3"/>
      <c r="C1696" s="3"/>
      <c r="D1696" s="3"/>
      <c r="E1696" s="3"/>
      <c r="F1696" s="3"/>
      <c r="G1696" s="3"/>
      <c r="H1696" s="3"/>
      <c r="I1696" s="3"/>
      <c r="J1696" s="3"/>
      <c r="K1696" s="3"/>
      <c r="L1696" s="3"/>
      <c r="M1696" s="3"/>
    </row>
    <row r="1697" spans="1:13" s="34" customFormat="1">
      <c r="A1697" s="73"/>
      <c r="B1697" s="3"/>
      <c r="C1697" s="3"/>
      <c r="D1697" s="3"/>
      <c r="E1697" s="3"/>
      <c r="F1697" s="3"/>
      <c r="G1697" s="3"/>
      <c r="H1697" s="3"/>
      <c r="I1697" s="3"/>
      <c r="J1697" s="3"/>
      <c r="K1697" s="3"/>
      <c r="L1697" s="3"/>
      <c r="M1697" s="3"/>
    </row>
    <row r="1698" spans="1:13" s="34" customFormat="1">
      <c r="A1698" s="73"/>
      <c r="B1698" s="3"/>
      <c r="C1698" s="3"/>
      <c r="D1698" s="3"/>
      <c r="E1698" s="3"/>
      <c r="F1698" s="3"/>
      <c r="G1698" s="3"/>
      <c r="H1698" s="3"/>
      <c r="I1698" s="3"/>
      <c r="J1698" s="3"/>
      <c r="K1698" s="3"/>
      <c r="L1698" s="3"/>
      <c r="M1698" s="3"/>
    </row>
    <row r="1699" spans="1:13" s="34" customFormat="1">
      <c r="A1699" s="73"/>
      <c r="B1699" s="3"/>
      <c r="C1699" s="3"/>
      <c r="D1699" s="3"/>
      <c r="E1699" s="3"/>
      <c r="F1699" s="3"/>
      <c r="G1699" s="3"/>
      <c r="H1699" s="3"/>
      <c r="I1699" s="3"/>
      <c r="J1699" s="3"/>
      <c r="K1699" s="3"/>
      <c r="L1699" s="3"/>
      <c r="M1699" s="3"/>
    </row>
    <row r="1700" spans="1:13" s="34" customFormat="1">
      <c r="A1700" s="73"/>
      <c r="B1700" s="3"/>
      <c r="C1700" s="3"/>
      <c r="D1700" s="3"/>
      <c r="E1700" s="3"/>
      <c r="F1700" s="3"/>
      <c r="G1700" s="3"/>
      <c r="H1700" s="3"/>
      <c r="I1700" s="3"/>
      <c r="J1700" s="3"/>
      <c r="K1700" s="3"/>
      <c r="L1700" s="3"/>
      <c r="M1700" s="3"/>
    </row>
    <row r="1701" spans="1:13" s="34" customFormat="1">
      <c r="A1701" s="73"/>
      <c r="B1701" s="3"/>
      <c r="C1701" s="3"/>
      <c r="D1701" s="3"/>
      <c r="E1701" s="3"/>
      <c r="F1701" s="3"/>
      <c r="G1701" s="3"/>
      <c r="H1701" s="3"/>
      <c r="I1701" s="3"/>
      <c r="J1701" s="3"/>
      <c r="K1701" s="3"/>
      <c r="L1701" s="3"/>
      <c r="M1701" s="3"/>
    </row>
    <row r="1702" spans="1:13" s="34" customFormat="1">
      <c r="A1702" s="73"/>
      <c r="B1702" s="3"/>
      <c r="C1702" s="3"/>
      <c r="D1702" s="3"/>
      <c r="E1702" s="3"/>
      <c r="F1702" s="3"/>
      <c r="G1702" s="3"/>
      <c r="H1702" s="3"/>
      <c r="I1702" s="3"/>
      <c r="J1702" s="3"/>
      <c r="K1702" s="3"/>
      <c r="L1702" s="3"/>
      <c r="M1702" s="3"/>
    </row>
    <row r="1703" spans="1:13" s="34" customFormat="1">
      <c r="A1703" s="73"/>
      <c r="B1703" s="3"/>
      <c r="C1703" s="3"/>
      <c r="D1703" s="3"/>
      <c r="E1703" s="3"/>
      <c r="F1703" s="3"/>
      <c r="G1703" s="3"/>
      <c r="H1703" s="3"/>
      <c r="I1703" s="3"/>
      <c r="J1703" s="3"/>
      <c r="K1703" s="3"/>
      <c r="L1703" s="3"/>
      <c r="M1703" s="3"/>
    </row>
    <row r="1704" spans="1:13" s="34" customFormat="1">
      <c r="A1704" s="73"/>
      <c r="B1704" s="3"/>
      <c r="C1704" s="3"/>
      <c r="D1704" s="3"/>
      <c r="E1704" s="3"/>
      <c r="F1704" s="3"/>
      <c r="G1704" s="3"/>
      <c r="H1704" s="3"/>
      <c r="I1704" s="3"/>
      <c r="J1704" s="3"/>
      <c r="K1704" s="3"/>
      <c r="L1704" s="3"/>
      <c r="M1704" s="3"/>
    </row>
    <row r="1705" spans="1:13" s="34" customFormat="1">
      <c r="A1705" s="73"/>
      <c r="B1705" s="3"/>
      <c r="C1705" s="3"/>
      <c r="D1705" s="3"/>
      <c r="E1705" s="3"/>
      <c r="F1705" s="3"/>
      <c r="G1705" s="3"/>
      <c r="H1705" s="3"/>
      <c r="I1705" s="3"/>
      <c r="J1705" s="3"/>
      <c r="K1705" s="3"/>
      <c r="L1705" s="3"/>
      <c r="M1705" s="3"/>
    </row>
    <row r="1706" spans="1:13" s="34" customFormat="1">
      <c r="A1706" s="73"/>
      <c r="B1706" s="3"/>
      <c r="C1706" s="3"/>
      <c r="D1706" s="3"/>
      <c r="E1706" s="3"/>
      <c r="F1706" s="3"/>
      <c r="G1706" s="3"/>
      <c r="H1706" s="3"/>
      <c r="I1706" s="3"/>
      <c r="J1706" s="3"/>
      <c r="K1706" s="3"/>
      <c r="L1706" s="3"/>
      <c r="M1706" s="3"/>
    </row>
    <row r="1707" spans="1:13" s="34" customFormat="1">
      <c r="A1707" s="73"/>
      <c r="B1707" s="3"/>
      <c r="C1707" s="3"/>
      <c r="D1707" s="3"/>
      <c r="E1707" s="3"/>
      <c r="F1707" s="3"/>
      <c r="G1707" s="3"/>
      <c r="H1707" s="3"/>
      <c r="I1707" s="3"/>
      <c r="J1707" s="3"/>
      <c r="K1707" s="3"/>
      <c r="L1707" s="3"/>
      <c r="M1707" s="3"/>
    </row>
    <row r="1708" spans="1:13" s="34" customFormat="1">
      <c r="A1708" s="73"/>
      <c r="B1708" s="3"/>
      <c r="C1708" s="3"/>
      <c r="D1708" s="3"/>
      <c r="E1708" s="3"/>
      <c r="F1708" s="3"/>
      <c r="G1708" s="3"/>
      <c r="H1708" s="3"/>
      <c r="I1708" s="3"/>
      <c r="J1708" s="3"/>
      <c r="K1708" s="3"/>
      <c r="L1708" s="3"/>
      <c r="M1708" s="3"/>
    </row>
    <row r="1709" spans="1:13" s="34" customFormat="1">
      <c r="A1709" s="73"/>
      <c r="B1709" s="3"/>
      <c r="C1709" s="3"/>
      <c r="D1709" s="3"/>
      <c r="E1709" s="3"/>
      <c r="F1709" s="3"/>
      <c r="G1709" s="3"/>
      <c r="H1709" s="3"/>
      <c r="I1709" s="3"/>
      <c r="J1709" s="3"/>
      <c r="K1709" s="3"/>
      <c r="L1709" s="3"/>
      <c r="M1709" s="3"/>
    </row>
    <row r="1710" spans="1:13" s="34" customFormat="1">
      <c r="A1710" s="73"/>
      <c r="B1710" s="3"/>
      <c r="C1710" s="3"/>
      <c r="D1710" s="3"/>
      <c r="E1710" s="3"/>
      <c r="F1710" s="3"/>
      <c r="G1710" s="3"/>
      <c r="H1710" s="3"/>
      <c r="I1710" s="3"/>
      <c r="J1710" s="3"/>
      <c r="K1710" s="3"/>
      <c r="L1710" s="3"/>
      <c r="M1710" s="3"/>
    </row>
    <row r="1711" spans="1:13" s="34" customFormat="1">
      <c r="A1711" s="73"/>
      <c r="B1711" s="3"/>
      <c r="C1711" s="3"/>
      <c r="D1711" s="3"/>
      <c r="E1711" s="3"/>
      <c r="F1711" s="3"/>
      <c r="G1711" s="3"/>
      <c r="H1711" s="3"/>
      <c r="I1711" s="3"/>
      <c r="J1711" s="3"/>
      <c r="K1711" s="3"/>
      <c r="L1711" s="3"/>
      <c r="M1711" s="3"/>
    </row>
    <row r="1712" spans="1:13" s="34" customFormat="1">
      <c r="A1712" s="73"/>
      <c r="B1712" s="3"/>
      <c r="C1712" s="3"/>
      <c r="D1712" s="3"/>
      <c r="E1712" s="3"/>
      <c r="F1712" s="3"/>
      <c r="G1712" s="3"/>
      <c r="H1712" s="3"/>
      <c r="I1712" s="3"/>
      <c r="J1712" s="3"/>
      <c r="K1712" s="3"/>
      <c r="L1712" s="3"/>
      <c r="M1712" s="3"/>
    </row>
    <row r="1713" spans="1:13" s="34" customFormat="1">
      <c r="A1713" s="73"/>
      <c r="B1713" s="3"/>
      <c r="C1713" s="3"/>
      <c r="D1713" s="3"/>
      <c r="E1713" s="3"/>
      <c r="F1713" s="3"/>
      <c r="G1713" s="3"/>
      <c r="H1713" s="3"/>
      <c r="I1713" s="3"/>
      <c r="J1713" s="3"/>
      <c r="K1713" s="3"/>
      <c r="L1713" s="3"/>
      <c r="M1713" s="3"/>
    </row>
    <row r="1714" spans="1:13" s="34" customFormat="1">
      <c r="A1714" s="73"/>
      <c r="B1714" s="3"/>
      <c r="C1714" s="3"/>
      <c r="D1714" s="3"/>
      <c r="E1714" s="3"/>
      <c r="F1714" s="3"/>
      <c r="G1714" s="3"/>
      <c r="H1714" s="3"/>
      <c r="I1714" s="3"/>
      <c r="J1714" s="3"/>
      <c r="K1714" s="3"/>
      <c r="L1714" s="3"/>
      <c r="M1714" s="3"/>
    </row>
    <row r="1715" spans="1:13" s="34" customFormat="1">
      <c r="A1715" s="73"/>
      <c r="B1715" s="3"/>
      <c r="C1715" s="3"/>
      <c r="D1715" s="3"/>
      <c r="E1715" s="3"/>
      <c r="F1715" s="3"/>
      <c r="G1715" s="3"/>
      <c r="H1715" s="3"/>
      <c r="I1715" s="3"/>
      <c r="J1715" s="3"/>
      <c r="K1715" s="3"/>
      <c r="L1715" s="3"/>
      <c r="M1715" s="3"/>
    </row>
    <row r="1716" spans="1:13" s="34" customFormat="1">
      <c r="A1716" s="73"/>
      <c r="B1716" s="3"/>
      <c r="C1716" s="3"/>
      <c r="D1716" s="3"/>
      <c r="E1716" s="3"/>
      <c r="F1716" s="3"/>
      <c r="G1716" s="3"/>
      <c r="H1716" s="3"/>
      <c r="I1716" s="3"/>
      <c r="J1716" s="3"/>
      <c r="K1716" s="3"/>
      <c r="L1716" s="3"/>
      <c r="M1716" s="3"/>
    </row>
    <row r="1717" spans="1:13" s="34" customFormat="1">
      <c r="A1717" s="73"/>
      <c r="B1717" s="3"/>
      <c r="C1717" s="3"/>
      <c r="D1717" s="3"/>
      <c r="E1717" s="3"/>
      <c r="F1717" s="3"/>
      <c r="G1717" s="3"/>
      <c r="H1717" s="3"/>
      <c r="I1717" s="3"/>
      <c r="J1717" s="3"/>
      <c r="K1717" s="3"/>
      <c r="L1717" s="3"/>
      <c r="M1717" s="3"/>
    </row>
    <row r="1718" spans="1:13" s="34" customFormat="1">
      <c r="A1718" s="73"/>
      <c r="B1718" s="3"/>
      <c r="C1718" s="3"/>
      <c r="D1718" s="3"/>
      <c r="E1718" s="3"/>
      <c r="F1718" s="3"/>
      <c r="G1718" s="3"/>
      <c r="H1718" s="3"/>
      <c r="I1718" s="3"/>
      <c r="J1718" s="3"/>
      <c r="K1718" s="3"/>
      <c r="L1718" s="3"/>
      <c r="M1718" s="3"/>
    </row>
    <row r="1719" spans="1:13" s="34" customFormat="1">
      <c r="A1719" s="73"/>
      <c r="B1719" s="3"/>
      <c r="C1719" s="3"/>
      <c r="D1719" s="3"/>
      <c r="E1719" s="3"/>
      <c r="F1719" s="3"/>
      <c r="G1719" s="3"/>
      <c r="H1719" s="3"/>
      <c r="I1719" s="3"/>
      <c r="J1719" s="3"/>
      <c r="K1719" s="3"/>
      <c r="L1719" s="3"/>
      <c r="M1719" s="3"/>
    </row>
    <row r="1720" spans="1:13" s="34" customFormat="1">
      <c r="A1720" s="73"/>
      <c r="B1720" s="3"/>
      <c r="C1720" s="3"/>
      <c r="D1720" s="3"/>
      <c r="E1720" s="3"/>
      <c r="F1720" s="3"/>
      <c r="G1720" s="3"/>
      <c r="H1720" s="3"/>
      <c r="I1720" s="3"/>
      <c r="J1720" s="3"/>
      <c r="K1720" s="3"/>
      <c r="L1720" s="3"/>
      <c r="M1720" s="3"/>
    </row>
    <row r="1721" spans="1:13" s="34" customFormat="1">
      <c r="A1721" s="73"/>
      <c r="B1721" s="3"/>
      <c r="C1721" s="3"/>
      <c r="D1721" s="3"/>
      <c r="E1721" s="3"/>
      <c r="F1721" s="3"/>
      <c r="G1721" s="3"/>
      <c r="H1721" s="3"/>
      <c r="I1721" s="3"/>
      <c r="J1721" s="3"/>
      <c r="K1721" s="3"/>
      <c r="L1721" s="3"/>
      <c r="M1721" s="3"/>
    </row>
    <row r="1722" spans="1:13" s="34" customFormat="1">
      <c r="A1722" s="73"/>
      <c r="B1722" s="3"/>
      <c r="C1722" s="3"/>
      <c r="D1722" s="3"/>
      <c r="E1722" s="3"/>
      <c r="F1722" s="3"/>
      <c r="G1722" s="3"/>
      <c r="H1722" s="3"/>
      <c r="I1722" s="3"/>
      <c r="J1722" s="3"/>
      <c r="K1722" s="3"/>
      <c r="L1722" s="3"/>
      <c r="M1722" s="3"/>
    </row>
    <row r="1723" spans="1:13" s="34" customFormat="1">
      <c r="A1723" s="73"/>
      <c r="B1723" s="3"/>
      <c r="C1723" s="3"/>
      <c r="D1723" s="3"/>
      <c r="E1723" s="3"/>
      <c r="F1723" s="3"/>
      <c r="G1723" s="3"/>
      <c r="H1723" s="3"/>
      <c r="I1723" s="3"/>
      <c r="J1723" s="3"/>
      <c r="K1723" s="3"/>
      <c r="L1723" s="3"/>
      <c r="M1723" s="3"/>
    </row>
    <row r="1724" spans="1:13" s="34" customFormat="1">
      <c r="A1724" s="73"/>
      <c r="B1724" s="3"/>
      <c r="C1724" s="3"/>
      <c r="D1724" s="3"/>
      <c r="E1724" s="3"/>
      <c r="F1724" s="3"/>
      <c r="G1724" s="3"/>
      <c r="H1724" s="3"/>
      <c r="I1724" s="3"/>
      <c r="J1724" s="3"/>
      <c r="K1724" s="3"/>
      <c r="L1724" s="3"/>
      <c r="M1724" s="3"/>
    </row>
    <row r="1725" spans="1:13" s="34" customFormat="1">
      <c r="A1725" s="73"/>
      <c r="B1725" s="3"/>
      <c r="C1725" s="3"/>
      <c r="D1725" s="3"/>
      <c r="E1725" s="3"/>
      <c r="F1725" s="3"/>
      <c r="G1725" s="3"/>
      <c r="H1725" s="3"/>
      <c r="I1725" s="3"/>
      <c r="J1725" s="3"/>
      <c r="K1725" s="3"/>
      <c r="L1725" s="3"/>
      <c r="M1725" s="3"/>
    </row>
    <row r="1726" spans="1:13" s="34" customFormat="1">
      <c r="A1726" s="73"/>
      <c r="B1726" s="3"/>
      <c r="C1726" s="3"/>
      <c r="D1726" s="3"/>
      <c r="E1726" s="3"/>
      <c r="F1726" s="3"/>
      <c r="G1726" s="3"/>
      <c r="H1726" s="3"/>
      <c r="I1726" s="3"/>
      <c r="J1726" s="3"/>
      <c r="K1726" s="3"/>
      <c r="L1726" s="3"/>
      <c r="M1726" s="3"/>
    </row>
    <row r="1727" spans="1:13" s="34" customFormat="1">
      <c r="A1727" s="73"/>
      <c r="B1727" s="3"/>
      <c r="C1727" s="3"/>
      <c r="D1727" s="3"/>
      <c r="E1727" s="3"/>
      <c r="F1727" s="3"/>
      <c r="G1727" s="3"/>
      <c r="H1727" s="3"/>
      <c r="I1727" s="3"/>
      <c r="J1727" s="3"/>
      <c r="K1727" s="3"/>
      <c r="L1727" s="3"/>
      <c r="M1727" s="3"/>
    </row>
    <row r="1728" spans="1:13" s="34" customFormat="1">
      <c r="A1728" s="73"/>
      <c r="B1728" s="3"/>
      <c r="C1728" s="3"/>
      <c r="D1728" s="3"/>
      <c r="E1728" s="3"/>
      <c r="F1728" s="3"/>
      <c r="G1728" s="3"/>
      <c r="H1728" s="3"/>
      <c r="I1728" s="3"/>
      <c r="J1728" s="3"/>
      <c r="K1728" s="3"/>
      <c r="L1728" s="3"/>
      <c r="M1728" s="3"/>
    </row>
    <row r="1729" spans="1:13" s="34" customFormat="1">
      <c r="A1729" s="73"/>
      <c r="B1729" s="3"/>
      <c r="C1729" s="3"/>
      <c r="D1729" s="3"/>
      <c r="E1729" s="3"/>
      <c r="F1729" s="3"/>
      <c r="G1729" s="3"/>
      <c r="H1729" s="3"/>
      <c r="I1729" s="3"/>
      <c r="J1729" s="3"/>
      <c r="K1729" s="3"/>
      <c r="L1729" s="3"/>
      <c r="M1729" s="3"/>
    </row>
    <row r="1730" spans="1:13" s="34" customFormat="1">
      <c r="A1730" s="73"/>
      <c r="B1730" s="3"/>
      <c r="C1730" s="3"/>
      <c r="D1730" s="3"/>
      <c r="E1730" s="3"/>
      <c r="F1730" s="3"/>
      <c r="G1730" s="3"/>
      <c r="H1730" s="3"/>
      <c r="I1730" s="3"/>
      <c r="J1730" s="3"/>
      <c r="K1730" s="3"/>
      <c r="L1730" s="3"/>
      <c r="M1730" s="3"/>
    </row>
    <row r="1731" spans="1:13" s="34" customFormat="1">
      <c r="A1731" s="73"/>
      <c r="B1731" s="3"/>
      <c r="C1731" s="3"/>
      <c r="D1731" s="3"/>
      <c r="E1731" s="3"/>
      <c r="F1731" s="3"/>
      <c r="G1731" s="3"/>
      <c r="H1731" s="3"/>
      <c r="I1731" s="3"/>
      <c r="J1731" s="3"/>
      <c r="K1731" s="3"/>
      <c r="L1731" s="3"/>
      <c r="M1731" s="3"/>
    </row>
    <row r="1732" spans="1:13" s="34" customFormat="1">
      <c r="A1732" s="73"/>
      <c r="B1732" s="3"/>
      <c r="C1732" s="3"/>
      <c r="D1732" s="3"/>
      <c r="E1732" s="3"/>
      <c r="F1732" s="3"/>
      <c r="G1732" s="3"/>
      <c r="H1732" s="3"/>
      <c r="I1732" s="3"/>
      <c r="J1732" s="3"/>
      <c r="K1732" s="3"/>
      <c r="L1732" s="3"/>
      <c r="M1732" s="3"/>
    </row>
    <row r="1733" spans="1:13" s="34" customFormat="1">
      <c r="A1733" s="73"/>
      <c r="B1733" s="3"/>
      <c r="C1733" s="3"/>
      <c r="D1733" s="3"/>
      <c r="E1733" s="3"/>
      <c r="F1733" s="3"/>
      <c r="G1733" s="3"/>
      <c r="H1733" s="3"/>
      <c r="I1733" s="3"/>
      <c r="J1733" s="3"/>
      <c r="K1733" s="3"/>
      <c r="L1733" s="3"/>
      <c r="M1733" s="3"/>
    </row>
    <row r="1734" spans="1:13" s="34" customFormat="1">
      <c r="A1734" s="73"/>
      <c r="B1734" s="3"/>
      <c r="C1734" s="3"/>
      <c r="D1734" s="3"/>
      <c r="E1734" s="3"/>
      <c r="F1734" s="3"/>
      <c r="G1734" s="3"/>
      <c r="H1734" s="3"/>
      <c r="I1734" s="3"/>
      <c r="J1734" s="3"/>
      <c r="K1734" s="3"/>
      <c r="L1734" s="3"/>
      <c r="M1734" s="3"/>
    </row>
    <row r="1735" spans="1:13" s="34" customFormat="1">
      <c r="A1735" s="73"/>
      <c r="B1735" s="3"/>
      <c r="C1735" s="3"/>
      <c r="D1735" s="3"/>
      <c r="E1735" s="3"/>
      <c r="F1735" s="3"/>
      <c r="G1735" s="3"/>
      <c r="H1735" s="3"/>
      <c r="I1735" s="3"/>
      <c r="J1735" s="3"/>
      <c r="K1735" s="3"/>
      <c r="L1735" s="3"/>
      <c r="M1735" s="3"/>
    </row>
    <row r="1736" spans="1:13" s="34" customFormat="1">
      <c r="A1736" s="73"/>
      <c r="B1736" s="3"/>
      <c r="C1736" s="3"/>
      <c r="D1736" s="3"/>
      <c r="E1736" s="3"/>
      <c r="F1736" s="3"/>
      <c r="G1736" s="3"/>
      <c r="H1736" s="3"/>
      <c r="I1736" s="3"/>
      <c r="J1736" s="3"/>
      <c r="K1736" s="3"/>
      <c r="L1736" s="3"/>
      <c r="M1736" s="3"/>
    </row>
    <row r="1737" spans="1:13" s="34" customFormat="1">
      <c r="A1737" s="73"/>
      <c r="B1737" s="3"/>
      <c r="C1737" s="3"/>
      <c r="D1737" s="3"/>
      <c r="E1737" s="3"/>
      <c r="F1737" s="3"/>
      <c r="G1737" s="3"/>
      <c r="H1737" s="3"/>
      <c r="I1737" s="3"/>
      <c r="J1737" s="3"/>
      <c r="K1737" s="3"/>
      <c r="L1737" s="3"/>
      <c r="M1737" s="3"/>
    </row>
    <row r="1738" spans="1:13" s="34" customFormat="1">
      <c r="A1738" s="73"/>
      <c r="B1738" s="3"/>
      <c r="C1738" s="3"/>
      <c r="D1738" s="3"/>
      <c r="E1738" s="3"/>
      <c r="F1738" s="3"/>
      <c r="G1738" s="3"/>
      <c r="H1738" s="3"/>
      <c r="I1738" s="3"/>
      <c r="J1738" s="3"/>
      <c r="K1738" s="3"/>
      <c r="L1738" s="3"/>
      <c r="M1738" s="3"/>
    </row>
    <row r="1739" spans="1:13" s="34" customFormat="1">
      <c r="A1739" s="73"/>
      <c r="B1739" s="3"/>
      <c r="C1739" s="3"/>
      <c r="D1739" s="3"/>
      <c r="E1739" s="3"/>
      <c r="F1739" s="3"/>
      <c r="G1739" s="3"/>
      <c r="H1739" s="3"/>
      <c r="I1739" s="3"/>
      <c r="J1739" s="3"/>
      <c r="K1739" s="3"/>
      <c r="L1739" s="3"/>
      <c r="M1739" s="3"/>
    </row>
    <row r="1740" spans="1:13" s="34" customFormat="1">
      <c r="A1740" s="73"/>
      <c r="B1740" s="3"/>
      <c r="C1740" s="3"/>
      <c r="D1740" s="3"/>
      <c r="E1740" s="3"/>
      <c r="F1740" s="3"/>
      <c r="G1740" s="3"/>
      <c r="H1740" s="3"/>
      <c r="I1740" s="3"/>
      <c r="J1740" s="3"/>
      <c r="K1740" s="3"/>
      <c r="L1740" s="3"/>
      <c r="M1740" s="3"/>
    </row>
    <row r="1741" spans="1:13" s="34" customFormat="1">
      <c r="A1741" s="73"/>
      <c r="B1741" s="3"/>
      <c r="C1741" s="3"/>
      <c r="D1741" s="3"/>
      <c r="E1741" s="3"/>
      <c r="F1741" s="3"/>
      <c r="G1741" s="3"/>
      <c r="H1741" s="3"/>
      <c r="I1741" s="3"/>
      <c r="J1741" s="3"/>
      <c r="K1741" s="3"/>
      <c r="L1741" s="3"/>
      <c r="M1741" s="3"/>
    </row>
    <row r="1742" spans="1:13" s="34" customFormat="1">
      <c r="A1742" s="73"/>
      <c r="B1742" s="3"/>
      <c r="C1742" s="3"/>
      <c r="D1742" s="3"/>
      <c r="E1742" s="3"/>
      <c r="F1742" s="3"/>
      <c r="G1742" s="3"/>
      <c r="H1742" s="3"/>
      <c r="I1742" s="3"/>
      <c r="J1742" s="3"/>
      <c r="K1742" s="3"/>
      <c r="L1742" s="3"/>
      <c r="M1742" s="3"/>
    </row>
    <row r="1743" spans="1:13" s="34" customFormat="1">
      <c r="A1743" s="73"/>
      <c r="B1743" s="3"/>
      <c r="C1743" s="3"/>
      <c r="D1743" s="3"/>
      <c r="E1743" s="3"/>
      <c r="F1743" s="3"/>
      <c r="G1743" s="3"/>
      <c r="H1743" s="3"/>
      <c r="I1743" s="3"/>
      <c r="J1743" s="3"/>
      <c r="K1743" s="3"/>
      <c r="L1743" s="3"/>
      <c r="M1743" s="3"/>
    </row>
    <row r="1744" spans="1:13" s="34" customFormat="1">
      <c r="A1744" s="73"/>
      <c r="B1744" s="3"/>
      <c r="C1744" s="3"/>
      <c r="D1744" s="3"/>
      <c r="E1744" s="3"/>
      <c r="F1744" s="3"/>
      <c r="G1744" s="3"/>
      <c r="H1744" s="3"/>
      <c r="I1744" s="3"/>
      <c r="J1744" s="3"/>
      <c r="K1744" s="3"/>
      <c r="L1744" s="3"/>
      <c r="M1744" s="3"/>
    </row>
    <row r="1745" spans="1:13" s="34" customFormat="1">
      <c r="A1745" s="73"/>
      <c r="B1745" s="3"/>
      <c r="C1745" s="3"/>
      <c r="D1745" s="3"/>
      <c r="E1745" s="3"/>
      <c r="F1745" s="3"/>
      <c r="G1745" s="3"/>
      <c r="H1745" s="3"/>
      <c r="I1745" s="3"/>
      <c r="J1745" s="3"/>
      <c r="K1745" s="3"/>
      <c r="L1745" s="3"/>
      <c r="M1745" s="3"/>
    </row>
    <row r="1746" spans="1:13" s="34" customFormat="1">
      <c r="A1746" s="73"/>
      <c r="B1746" s="3"/>
      <c r="C1746" s="3"/>
      <c r="D1746" s="3"/>
      <c r="E1746" s="3"/>
      <c r="F1746" s="3"/>
      <c r="G1746" s="3"/>
      <c r="H1746" s="3"/>
      <c r="I1746" s="3"/>
      <c r="J1746" s="3"/>
      <c r="K1746" s="3"/>
      <c r="L1746" s="3"/>
      <c r="M1746" s="3"/>
    </row>
    <row r="1747" spans="1:13" s="34" customFormat="1">
      <c r="A1747" s="73"/>
      <c r="B1747" s="3"/>
      <c r="C1747" s="3"/>
      <c r="D1747" s="3"/>
      <c r="E1747" s="3"/>
      <c r="F1747" s="3"/>
      <c r="G1747" s="3"/>
      <c r="H1747" s="3"/>
      <c r="I1747" s="3"/>
      <c r="J1747" s="3"/>
      <c r="K1747" s="3"/>
      <c r="L1747" s="3"/>
      <c r="M1747" s="3"/>
    </row>
    <row r="1748" spans="1:13" s="34" customFormat="1">
      <c r="A1748" s="73"/>
      <c r="B1748" s="3"/>
      <c r="C1748" s="3"/>
      <c r="D1748" s="3"/>
      <c r="E1748" s="3"/>
      <c r="F1748" s="3"/>
      <c r="G1748" s="3"/>
      <c r="H1748" s="3"/>
      <c r="I1748" s="3"/>
      <c r="J1748" s="3"/>
      <c r="K1748" s="3"/>
      <c r="L1748" s="3"/>
      <c r="M1748" s="3"/>
    </row>
    <row r="1749" spans="1:13" s="34" customFormat="1">
      <c r="A1749" s="73"/>
      <c r="B1749" s="3"/>
      <c r="C1749" s="3"/>
      <c r="D1749" s="3"/>
      <c r="E1749" s="3"/>
      <c r="F1749" s="3"/>
      <c r="G1749" s="3"/>
      <c r="H1749" s="3"/>
      <c r="I1749" s="3"/>
      <c r="J1749" s="3"/>
      <c r="K1749" s="3"/>
      <c r="L1749" s="3"/>
      <c r="M1749" s="3"/>
    </row>
    <row r="1750" spans="1:13" s="34" customFormat="1">
      <c r="A1750" s="73"/>
      <c r="B1750" s="3"/>
      <c r="C1750" s="3"/>
      <c r="D1750" s="3"/>
      <c r="E1750" s="3"/>
      <c r="F1750" s="3"/>
      <c r="G1750" s="3"/>
      <c r="H1750" s="3"/>
      <c r="I1750" s="3"/>
      <c r="J1750" s="3"/>
      <c r="K1750" s="3"/>
      <c r="L1750" s="3"/>
      <c r="M1750" s="3"/>
    </row>
    <row r="1751" spans="1:13" s="34" customFormat="1">
      <c r="A1751" s="73"/>
      <c r="B1751" s="3"/>
      <c r="C1751" s="3"/>
      <c r="D1751" s="3"/>
      <c r="E1751" s="3"/>
      <c r="F1751" s="3"/>
      <c r="G1751" s="3"/>
      <c r="H1751" s="3"/>
      <c r="I1751" s="3"/>
      <c r="J1751" s="3"/>
      <c r="K1751" s="3"/>
      <c r="L1751" s="3"/>
      <c r="M1751" s="3"/>
    </row>
    <row r="1752" spans="1:13" s="34" customFormat="1">
      <c r="A1752" s="73"/>
      <c r="B1752" s="3"/>
      <c r="C1752" s="3"/>
      <c r="D1752" s="3"/>
      <c r="E1752" s="3"/>
      <c r="F1752" s="3"/>
      <c r="G1752" s="3"/>
      <c r="H1752" s="3"/>
      <c r="I1752" s="3"/>
      <c r="J1752" s="3"/>
      <c r="K1752" s="3"/>
      <c r="L1752" s="3"/>
      <c r="M1752" s="3"/>
    </row>
    <row r="1753" spans="1:13" s="34" customFormat="1">
      <c r="A1753" s="73"/>
      <c r="B1753" s="3"/>
      <c r="C1753" s="3"/>
      <c r="D1753" s="3"/>
      <c r="E1753" s="3"/>
      <c r="F1753" s="3"/>
      <c r="G1753" s="3"/>
      <c r="H1753" s="3"/>
      <c r="I1753" s="3"/>
      <c r="J1753" s="3"/>
      <c r="K1753" s="3"/>
      <c r="L1753" s="3"/>
      <c r="M1753" s="3"/>
    </row>
    <row r="1754" spans="1:13" s="34" customFormat="1">
      <c r="A1754" s="73"/>
      <c r="B1754" s="3"/>
      <c r="C1754" s="3"/>
      <c r="D1754" s="3"/>
      <c r="E1754" s="3"/>
      <c r="F1754" s="3"/>
      <c r="G1754" s="3"/>
      <c r="H1754" s="3"/>
      <c r="I1754" s="3"/>
      <c r="J1754" s="3"/>
      <c r="K1754" s="3"/>
      <c r="L1754" s="3"/>
      <c r="M1754" s="3"/>
    </row>
    <row r="1755" spans="1:13" s="34" customFormat="1">
      <c r="A1755" s="73"/>
      <c r="B1755" s="3"/>
      <c r="C1755" s="3"/>
      <c r="D1755" s="3"/>
      <c r="E1755" s="3"/>
      <c r="F1755" s="3"/>
      <c r="G1755" s="3"/>
      <c r="H1755" s="3"/>
      <c r="I1755" s="3"/>
      <c r="J1755" s="3"/>
      <c r="K1755" s="3"/>
      <c r="L1755" s="3"/>
      <c r="M1755" s="3"/>
    </row>
    <row r="1756" spans="1:13" s="34" customFormat="1">
      <c r="A1756" s="73"/>
      <c r="B1756" s="3"/>
      <c r="C1756" s="3"/>
      <c r="D1756" s="3"/>
      <c r="E1756" s="3"/>
      <c r="F1756" s="3"/>
      <c r="G1756" s="3"/>
      <c r="H1756" s="3"/>
      <c r="I1756" s="3"/>
      <c r="J1756" s="3"/>
      <c r="K1756" s="3"/>
      <c r="L1756" s="3"/>
      <c r="M1756" s="3"/>
    </row>
    <row r="1757" spans="1:13" s="34" customFormat="1">
      <c r="A1757" s="73"/>
      <c r="B1757" s="3"/>
      <c r="C1757" s="3"/>
      <c r="D1757" s="3"/>
      <c r="E1757" s="3"/>
      <c r="F1757" s="3"/>
      <c r="G1757" s="3"/>
      <c r="H1757" s="3"/>
      <c r="I1757" s="3"/>
      <c r="J1757" s="3"/>
      <c r="K1757" s="3"/>
      <c r="L1757" s="3"/>
      <c r="M1757" s="3"/>
    </row>
    <row r="1758" spans="1:13" s="34" customFormat="1">
      <c r="A1758" s="73"/>
      <c r="B1758" s="3"/>
      <c r="C1758" s="3"/>
      <c r="D1758" s="3"/>
      <c r="E1758" s="3"/>
      <c r="F1758" s="3"/>
      <c r="G1758" s="3"/>
      <c r="H1758" s="3"/>
      <c r="I1758" s="3"/>
      <c r="J1758" s="3"/>
      <c r="K1758" s="3"/>
      <c r="L1758" s="3"/>
      <c r="M1758" s="3"/>
    </row>
    <row r="1759" spans="1:13" s="34" customFormat="1">
      <c r="A1759" s="73"/>
      <c r="B1759" s="3"/>
      <c r="C1759" s="3"/>
      <c r="D1759" s="3"/>
      <c r="E1759" s="3"/>
      <c r="F1759" s="3"/>
      <c r="G1759" s="3"/>
      <c r="H1759" s="3"/>
      <c r="I1759" s="3"/>
      <c r="J1759" s="3"/>
      <c r="K1759" s="3"/>
      <c r="L1759" s="3"/>
      <c r="M1759" s="3"/>
    </row>
    <row r="1760" spans="1:13" s="34" customFormat="1">
      <c r="A1760" s="73"/>
      <c r="B1760" s="3"/>
      <c r="C1760" s="3"/>
      <c r="D1760" s="3"/>
      <c r="E1760" s="3"/>
      <c r="F1760" s="3"/>
      <c r="G1760" s="3"/>
      <c r="H1760" s="3"/>
      <c r="I1760" s="3"/>
      <c r="J1760" s="3"/>
      <c r="K1760" s="3"/>
      <c r="L1760" s="3"/>
      <c r="M1760" s="3"/>
    </row>
    <row r="1761" spans="1:13" s="34" customFormat="1">
      <c r="A1761" s="73"/>
      <c r="B1761" s="3"/>
      <c r="C1761" s="3"/>
      <c r="D1761" s="3"/>
      <c r="E1761" s="3"/>
      <c r="F1761" s="3"/>
      <c r="G1761" s="3"/>
      <c r="H1761" s="3"/>
      <c r="I1761" s="3"/>
      <c r="J1761" s="3"/>
      <c r="K1761" s="3"/>
      <c r="L1761" s="3"/>
      <c r="M1761" s="3"/>
    </row>
    <row r="1762" spans="1:13" s="34" customFormat="1">
      <c r="A1762" s="73"/>
      <c r="B1762" s="3"/>
      <c r="C1762" s="3"/>
      <c r="D1762" s="3"/>
      <c r="E1762" s="3"/>
      <c r="F1762" s="3"/>
      <c r="G1762" s="3"/>
      <c r="H1762" s="3"/>
      <c r="I1762" s="3"/>
      <c r="J1762" s="3"/>
      <c r="K1762" s="3"/>
      <c r="L1762" s="3"/>
      <c r="M1762" s="3"/>
    </row>
    <row r="1763" spans="1:13" s="34" customFormat="1">
      <c r="A1763" s="73"/>
      <c r="B1763" s="3"/>
      <c r="C1763" s="3"/>
      <c r="D1763" s="3"/>
      <c r="E1763" s="3"/>
      <c r="F1763" s="3"/>
      <c r="G1763" s="3"/>
      <c r="H1763" s="3"/>
      <c r="I1763" s="3"/>
      <c r="J1763" s="3"/>
      <c r="K1763" s="3"/>
      <c r="L1763" s="3"/>
      <c r="M1763" s="3"/>
    </row>
    <row r="1764" spans="1:13" s="34" customFormat="1">
      <c r="A1764" s="73"/>
      <c r="B1764" s="3"/>
      <c r="C1764" s="3"/>
      <c r="D1764" s="3"/>
      <c r="E1764" s="3"/>
      <c r="F1764" s="3"/>
      <c r="G1764" s="3"/>
      <c r="H1764" s="3"/>
      <c r="I1764" s="3"/>
      <c r="J1764" s="3"/>
      <c r="K1764" s="3"/>
      <c r="L1764" s="3"/>
      <c r="M1764" s="3"/>
    </row>
    <row r="1765" spans="1:13" s="34" customFormat="1">
      <c r="A1765" s="73"/>
      <c r="B1765" s="3"/>
      <c r="C1765" s="3"/>
      <c r="D1765" s="3"/>
      <c r="E1765" s="3"/>
      <c r="F1765" s="3"/>
      <c r="G1765" s="3"/>
      <c r="H1765" s="3"/>
      <c r="I1765" s="3"/>
      <c r="J1765" s="3"/>
      <c r="K1765" s="3"/>
      <c r="L1765" s="3"/>
      <c r="M1765" s="3"/>
    </row>
    <row r="1766" spans="1:13" s="34" customFormat="1">
      <c r="A1766" s="73"/>
      <c r="B1766" s="3"/>
      <c r="C1766" s="3"/>
      <c r="D1766" s="3"/>
      <c r="E1766" s="3"/>
      <c r="F1766" s="3"/>
      <c r="G1766" s="3"/>
      <c r="H1766" s="3"/>
      <c r="I1766" s="3"/>
      <c r="J1766" s="3"/>
      <c r="K1766" s="3"/>
      <c r="L1766" s="3"/>
      <c r="M1766" s="3"/>
    </row>
    <row r="1767" spans="1:13" s="34" customFormat="1">
      <c r="A1767" s="73"/>
      <c r="B1767" s="3"/>
      <c r="C1767" s="3"/>
      <c r="D1767" s="3"/>
      <c r="E1767" s="3"/>
      <c r="F1767" s="3"/>
      <c r="G1767" s="3"/>
      <c r="H1767" s="3"/>
      <c r="I1767" s="3"/>
      <c r="J1767" s="3"/>
      <c r="K1767" s="3"/>
      <c r="L1767" s="3"/>
      <c r="M1767" s="3"/>
    </row>
    <row r="1768" spans="1:13" s="34" customFormat="1">
      <c r="A1768" s="73"/>
      <c r="B1768" s="3"/>
      <c r="C1768" s="3"/>
      <c r="D1768" s="3"/>
      <c r="E1768" s="3"/>
      <c r="F1768" s="3"/>
      <c r="G1768" s="3"/>
      <c r="H1768" s="3"/>
      <c r="I1768" s="3"/>
      <c r="J1768" s="3"/>
      <c r="K1768" s="3"/>
      <c r="L1768" s="3"/>
      <c r="M1768" s="3"/>
    </row>
    <row r="1769" spans="1:13" s="34" customFormat="1">
      <c r="A1769" s="73"/>
      <c r="B1769" s="3"/>
      <c r="C1769" s="3"/>
      <c r="D1769" s="3"/>
      <c r="E1769" s="3"/>
      <c r="F1769" s="3"/>
      <c r="G1769" s="3"/>
      <c r="H1769" s="3"/>
      <c r="I1769" s="3"/>
      <c r="J1769" s="3"/>
      <c r="K1769" s="3"/>
      <c r="L1769" s="3"/>
      <c r="M1769" s="3"/>
    </row>
    <row r="1770" spans="1:13" s="34" customFormat="1">
      <c r="A1770" s="73"/>
      <c r="B1770" s="3"/>
      <c r="C1770" s="3"/>
      <c r="D1770" s="3"/>
      <c r="E1770" s="3"/>
      <c r="F1770" s="3"/>
      <c r="G1770" s="3"/>
      <c r="H1770" s="3"/>
      <c r="I1770" s="3"/>
      <c r="J1770" s="3"/>
      <c r="K1770" s="3"/>
      <c r="L1770" s="3"/>
      <c r="M1770" s="3"/>
    </row>
    <row r="1771" spans="1:13" s="34" customFormat="1">
      <c r="A1771" s="73"/>
      <c r="B1771" s="3"/>
      <c r="C1771" s="3"/>
      <c r="D1771" s="3"/>
      <c r="E1771" s="3"/>
      <c r="F1771" s="3"/>
      <c r="G1771" s="3"/>
      <c r="H1771" s="3"/>
      <c r="I1771" s="3"/>
      <c r="J1771" s="3"/>
      <c r="K1771" s="3"/>
      <c r="L1771" s="3"/>
      <c r="M1771" s="3"/>
    </row>
    <row r="1772" spans="1:13" s="34" customFormat="1">
      <c r="A1772" s="73"/>
      <c r="B1772" s="3"/>
      <c r="C1772" s="3"/>
      <c r="D1772" s="3"/>
      <c r="E1772" s="3"/>
      <c r="F1772" s="3"/>
      <c r="G1772" s="3"/>
      <c r="H1772" s="3"/>
      <c r="I1772" s="3"/>
      <c r="J1772" s="3"/>
      <c r="K1772" s="3"/>
      <c r="L1772" s="3"/>
      <c r="M1772" s="3"/>
    </row>
    <row r="1773" spans="1:13" s="34" customFormat="1">
      <c r="A1773" s="73"/>
      <c r="B1773" s="3"/>
      <c r="C1773" s="3"/>
      <c r="D1773" s="3"/>
      <c r="E1773" s="3"/>
      <c r="F1773" s="3"/>
      <c r="G1773" s="3"/>
      <c r="H1773" s="3"/>
      <c r="I1773" s="3"/>
      <c r="J1773" s="3"/>
      <c r="K1773" s="3"/>
      <c r="L1773" s="3"/>
      <c r="M1773" s="3"/>
    </row>
    <row r="1774" spans="1:13" s="34" customFormat="1">
      <c r="A1774" s="73"/>
      <c r="B1774" s="3"/>
      <c r="C1774" s="3"/>
      <c r="D1774" s="3"/>
      <c r="E1774" s="3"/>
      <c r="F1774" s="3"/>
      <c r="G1774" s="3"/>
      <c r="H1774" s="3"/>
      <c r="I1774" s="3"/>
      <c r="J1774" s="3"/>
      <c r="K1774" s="3"/>
      <c r="L1774" s="3"/>
      <c r="M1774" s="3"/>
    </row>
    <row r="1775" spans="1:13" s="34" customFormat="1">
      <c r="A1775" s="73"/>
      <c r="B1775" s="3"/>
      <c r="C1775" s="3"/>
      <c r="D1775" s="3"/>
      <c r="E1775" s="3"/>
      <c r="F1775" s="3"/>
      <c r="G1775" s="3"/>
      <c r="H1775" s="3"/>
      <c r="I1775" s="3"/>
      <c r="J1775" s="3"/>
      <c r="K1775" s="3"/>
      <c r="L1775" s="3"/>
      <c r="M1775" s="3"/>
    </row>
    <row r="1776" spans="1:13" s="34" customFormat="1">
      <c r="A1776" s="73"/>
      <c r="B1776" s="3"/>
      <c r="C1776" s="3"/>
      <c r="D1776" s="3"/>
      <c r="E1776" s="3"/>
      <c r="F1776" s="3"/>
      <c r="G1776" s="3"/>
      <c r="H1776" s="3"/>
      <c r="I1776" s="3"/>
      <c r="J1776" s="3"/>
      <c r="K1776" s="3"/>
      <c r="L1776" s="3"/>
      <c r="M1776" s="3"/>
    </row>
    <row r="1777" spans="1:13" s="34" customFormat="1">
      <c r="A1777" s="73"/>
      <c r="B1777" s="3"/>
      <c r="C1777" s="3"/>
      <c r="D1777" s="3"/>
      <c r="E1777" s="3"/>
      <c r="F1777" s="3"/>
      <c r="G1777" s="3"/>
      <c r="H1777" s="3"/>
      <c r="I1777" s="3"/>
      <c r="J1777" s="3"/>
      <c r="K1777" s="3"/>
      <c r="L1777" s="3"/>
      <c r="M1777" s="3"/>
    </row>
    <row r="1778" spans="1:13" s="34" customFormat="1">
      <c r="A1778" s="73"/>
      <c r="B1778" s="3"/>
      <c r="C1778" s="3"/>
      <c r="D1778" s="3"/>
      <c r="E1778" s="3"/>
      <c r="F1778" s="3"/>
      <c r="G1778" s="3"/>
      <c r="H1778" s="3"/>
      <c r="I1778" s="3"/>
      <c r="J1778" s="3"/>
      <c r="K1778" s="3"/>
      <c r="L1778" s="3"/>
      <c r="M1778" s="3"/>
    </row>
    <row r="1779" spans="1:13" s="34" customFormat="1">
      <c r="A1779" s="73"/>
      <c r="B1779" s="3"/>
      <c r="C1779" s="3"/>
      <c r="D1779" s="3"/>
      <c r="E1779" s="3"/>
      <c r="F1779" s="3"/>
      <c r="G1779" s="3"/>
      <c r="H1779" s="3"/>
      <c r="I1779" s="3"/>
      <c r="J1779" s="3"/>
      <c r="K1779" s="3"/>
      <c r="L1779" s="3"/>
      <c r="M1779" s="3"/>
    </row>
    <row r="1780" spans="1:13" s="34" customFormat="1">
      <c r="A1780" s="73"/>
      <c r="B1780" s="3"/>
      <c r="C1780" s="3"/>
      <c r="D1780" s="3"/>
      <c r="E1780" s="3"/>
      <c r="F1780" s="3"/>
      <c r="G1780" s="3"/>
      <c r="H1780" s="3"/>
      <c r="I1780" s="3"/>
      <c r="J1780" s="3"/>
      <c r="K1780" s="3"/>
      <c r="L1780" s="3"/>
      <c r="M1780" s="3"/>
    </row>
    <row r="1781" spans="1:13" s="34" customFormat="1">
      <c r="A1781" s="73"/>
      <c r="B1781" s="3"/>
      <c r="C1781" s="3"/>
      <c r="D1781" s="3"/>
      <c r="E1781" s="3"/>
      <c r="F1781" s="3"/>
      <c r="G1781" s="3"/>
      <c r="H1781" s="3"/>
      <c r="I1781" s="3"/>
      <c r="J1781" s="3"/>
      <c r="K1781" s="3"/>
      <c r="L1781" s="3"/>
      <c r="M1781" s="3"/>
    </row>
    <row r="1782" spans="1:13" s="34" customFormat="1">
      <c r="A1782" s="73"/>
      <c r="B1782" s="3"/>
      <c r="C1782" s="3"/>
      <c r="D1782" s="3"/>
      <c r="E1782" s="3"/>
      <c r="F1782" s="3"/>
      <c r="G1782" s="3"/>
      <c r="H1782" s="3"/>
      <c r="I1782" s="3"/>
      <c r="J1782" s="3"/>
      <c r="K1782" s="3"/>
      <c r="L1782" s="3"/>
      <c r="M1782" s="3"/>
    </row>
    <row r="1783" spans="1:13" s="34" customFormat="1">
      <c r="A1783" s="73"/>
      <c r="B1783" s="3"/>
      <c r="C1783" s="3"/>
      <c r="D1783" s="3"/>
      <c r="E1783" s="3"/>
      <c r="F1783" s="3"/>
      <c r="G1783" s="3"/>
      <c r="H1783" s="3"/>
      <c r="I1783" s="3"/>
      <c r="J1783" s="3"/>
      <c r="K1783" s="3"/>
      <c r="L1783" s="3"/>
      <c r="M1783" s="3"/>
    </row>
    <row r="1784" spans="1:13" s="34" customFormat="1">
      <c r="A1784" s="73"/>
      <c r="B1784" s="3"/>
      <c r="C1784" s="3"/>
      <c r="D1784" s="3"/>
      <c r="E1784" s="3"/>
      <c r="F1784" s="3"/>
      <c r="G1784" s="3"/>
      <c r="H1784" s="3"/>
      <c r="I1784" s="3"/>
      <c r="J1784" s="3"/>
      <c r="K1784" s="3"/>
      <c r="L1784" s="3"/>
      <c r="M1784" s="3"/>
    </row>
    <row r="1785" spans="1:13" s="34" customFormat="1">
      <c r="A1785" s="73"/>
      <c r="B1785" s="3"/>
      <c r="C1785" s="3"/>
      <c r="D1785" s="3"/>
      <c r="E1785" s="3"/>
      <c r="F1785" s="3"/>
      <c r="G1785" s="3"/>
      <c r="H1785" s="3"/>
      <c r="I1785" s="3"/>
      <c r="J1785" s="3"/>
      <c r="K1785" s="3"/>
      <c r="L1785" s="3"/>
      <c r="M1785" s="3"/>
    </row>
    <row r="1786" spans="1:13" s="34" customFormat="1">
      <c r="A1786" s="73"/>
      <c r="B1786" s="3"/>
      <c r="C1786" s="3"/>
      <c r="D1786" s="3"/>
      <c r="E1786" s="3"/>
      <c r="F1786" s="3"/>
      <c r="G1786" s="3"/>
      <c r="H1786" s="3"/>
      <c r="I1786" s="3"/>
      <c r="J1786" s="3"/>
      <c r="K1786" s="3"/>
      <c r="L1786" s="3"/>
      <c r="M1786" s="3"/>
    </row>
    <row r="1787" spans="1:13" s="34" customFormat="1">
      <c r="A1787" s="73"/>
      <c r="B1787" s="3"/>
      <c r="C1787" s="3"/>
      <c r="D1787" s="3"/>
      <c r="E1787" s="3"/>
      <c r="F1787" s="3"/>
      <c r="G1787" s="3"/>
      <c r="H1787" s="3"/>
      <c r="I1787" s="3"/>
      <c r="J1787" s="3"/>
      <c r="K1787" s="3"/>
      <c r="L1787" s="3"/>
      <c r="M1787" s="3"/>
    </row>
    <row r="1788" spans="1:13" s="34" customFormat="1">
      <c r="A1788" s="73"/>
      <c r="B1788" s="3"/>
      <c r="C1788" s="3"/>
      <c r="D1788" s="3"/>
      <c r="E1788" s="3"/>
      <c r="F1788" s="3"/>
      <c r="G1788" s="3"/>
      <c r="H1788" s="3"/>
      <c r="I1788" s="3"/>
      <c r="J1788" s="3"/>
      <c r="K1788" s="3"/>
      <c r="L1788" s="3"/>
      <c r="M1788" s="3"/>
    </row>
    <row r="1789" spans="1:13" s="34" customFormat="1">
      <c r="A1789" s="73"/>
      <c r="B1789" s="3"/>
      <c r="C1789" s="3"/>
      <c r="D1789" s="3"/>
      <c r="E1789" s="3"/>
      <c r="F1789" s="3"/>
      <c r="G1789" s="3"/>
      <c r="H1789" s="3"/>
      <c r="I1789" s="3"/>
      <c r="J1789" s="3"/>
      <c r="K1789" s="3"/>
      <c r="L1789" s="3"/>
      <c r="M1789" s="3"/>
    </row>
    <row r="1790" spans="1:13" s="34" customFormat="1">
      <c r="A1790" s="73"/>
      <c r="B1790" s="3"/>
      <c r="C1790" s="3"/>
      <c r="D1790" s="3"/>
      <c r="E1790" s="3"/>
      <c r="F1790" s="3"/>
      <c r="G1790" s="3"/>
      <c r="H1790" s="3"/>
      <c r="I1790" s="3"/>
      <c r="J1790" s="3"/>
      <c r="K1790" s="3"/>
      <c r="L1790" s="3"/>
      <c r="M1790" s="3"/>
    </row>
    <row r="1791" spans="1:13" s="34" customFormat="1">
      <c r="A1791" s="73"/>
      <c r="B1791" s="3"/>
      <c r="C1791" s="3"/>
      <c r="D1791" s="3"/>
      <c r="E1791" s="3"/>
      <c r="F1791" s="3"/>
      <c r="G1791" s="3"/>
      <c r="H1791" s="3"/>
      <c r="I1791" s="3"/>
      <c r="J1791" s="3"/>
      <c r="K1791" s="3"/>
      <c r="L1791" s="3"/>
      <c r="M1791" s="3"/>
    </row>
    <row r="1792" spans="1:13" s="34" customFormat="1">
      <c r="A1792" s="73"/>
      <c r="B1792" s="3"/>
      <c r="C1792" s="3"/>
      <c r="D1792" s="3"/>
      <c r="E1792" s="3"/>
      <c r="F1792" s="3"/>
      <c r="G1792" s="3"/>
      <c r="H1792" s="3"/>
      <c r="I1792" s="3"/>
      <c r="J1792" s="3"/>
      <c r="K1792" s="3"/>
      <c r="L1792" s="3"/>
      <c r="M1792" s="3"/>
    </row>
    <row r="1793" spans="1:13" s="34" customFormat="1">
      <c r="A1793" s="73"/>
      <c r="B1793" s="3"/>
      <c r="C1793" s="3"/>
      <c r="D1793" s="3"/>
      <c r="E1793" s="3"/>
      <c r="F1793" s="3"/>
      <c r="G1793" s="3"/>
      <c r="H1793" s="3"/>
      <c r="I1793" s="3"/>
      <c r="J1793" s="3"/>
      <c r="K1793" s="3"/>
      <c r="L1793" s="3"/>
      <c r="M1793" s="3"/>
    </row>
    <row r="1794" spans="1:13" s="34" customFormat="1">
      <c r="A1794" s="73"/>
      <c r="B1794" s="3"/>
      <c r="C1794" s="3"/>
      <c r="D1794" s="3"/>
      <c r="E1794" s="3"/>
      <c r="F1794" s="3"/>
      <c r="G1794" s="3"/>
      <c r="H1794" s="3"/>
      <c r="I1794" s="3"/>
      <c r="J1794" s="3"/>
      <c r="K1794" s="3"/>
      <c r="L1794" s="3"/>
      <c r="M1794" s="3"/>
    </row>
    <row r="1795" spans="1:13" s="34" customFormat="1">
      <c r="A1795" s="73"/>
      <c r="B1795" s="3"/>
      <c r="C1795" s="3"/>
      <c r="D1795" s="3"/>
      <c r="E1795" s="3"/>
      <c r="F1795" s="3"/>
      <c r="G1795" s="3"/>
      <c r="H1795" s="3"/>
      <c r="I1795" s="3"/>
      <c r="J1795" s="3"/>
      <c r="K1795" s="3"/>
      <c r="L1795" s="3"/>
      <c r="M1795" s="3"/>
    </row>
    <row r="1796" spans="1:13" s="34" customFormat="1">
      <c r="A1796" s="73"/>
      <c r="B1796" s="3"/>
      <c r="C1796" s="3"/>
      <c r="D1796" s="3"/>
      <c r="E1796" s="3"/>
      <c r="F1796" s="3"/>
      <c r="G1796" s="3"/>
      <c r="H1796" s="3"/>
      <c r="I1796" s="3"/>
      <c r="J1796" s="3"/>
      <c r="K1796" s="3"/>
      <c r="L1796" s="3"/>
      <c r="M1796" s="3"/>
    </row>
    <row r="1797" spans="1:13" s="34" customFormat="1">
      <c r="A1797" s="73"/>
      <c r="B1797" s="3"/>
      <c r="C1797" s="3"/>
      <c r="D1797" s="3"/>
      <c r="E1797" s="3"/>
      <c r="F1797" s="3"/>
      <c r="G1797" s="3"/>
      <c r="H1797" s="3"/>
      <c r="I1797" s="3"/>
      <c r="J1797" s="3"/>
      <c r="K1797" s="3"/>
      <c r="L1797" s="3"/>
      <c r="M1797" s="3"/>
    </row>
    <row r="1798" spans="1:13" s="34" customFormat="1">
      <c r="A1798" s="73"/>
      <c r="B1798" s="3"/>
      <c r="C1798" s="3"/>
      <c r="D1798" s="3"/>
      <c r="E1798" s="3"/>
      <c r="F1798" s="3"/>
      <c r="G1798" s="3"/>
      <c r="H1798" s="3"/>
      <c r="I1798" s="3"/>
      <c r="J1798" s="3"/>
      <c r="K1798" s="3"/>
      <c r="L1798" s="3"/>
      <c r="M1798" s="3"/>
    </row>
    <row r="1799" spans="1:13" s="34" customFormat="1">
      <c r="A1799" s="73"/>
      <c r="B1799" s="3"/>
      <c r="C1799" s="3"/>
      <c r="D1799" s="3"/>
      <c r="E1799" s="3"/>
      <c r="F1799" s="3"/>
      <c r="G1799" s="3"/>
      <c r="H1799" s="3"/>
      <c r="I1799" s="3"/>
      <c r="J1799" s="3"/>
      <c r="K1799" s="3"/>
      <c r="L1799" s="3"/>
      <c r="M1799" s="3"/>
    </row>
    <row r="1800" spans="1:13" s="34" customFormat="1">
      <c r="A1800" s="73"/>
      <c r="B1800" s="3"/>
      <c r="C1800" s="3"/>
      <c r="D1800" s="3"/>
      <c r="E1800" s="3"/>
      <c r="F1800" s="3"/>
      <c r="G1800" s="3"/>
      <c r="H1800" s="3"/>
      <c r="I1800" s="3"/>
      <c r="J1800" s="3"/>
      <c r="K1800" s="3"/>
      <c r="L1800" s="3"/>
      <c r="M1800" s="3"/>
    </row>
    <row r="1801" spans="1:13" s="34" customFormat="1">
      <c r="A1801" s="73"/>
      <c r="B1801" s="3"/>
      <c r="C1801" s="3"/>
      <c r="D1801" s="3"/>
      <c r="E1801" s="3"/>
      <c r="F1801" s="3"/>
      <c r="G1801" s="3"/>
      <c r="H1801" s="3"/>
      <c r="I1801" s="3"/>
      <c r="J1801" s="3"/>
      <c r="K1801" s="3"/>
      <c r="L1801" s="3"/>
      <c r="M1801" s="3"/>
    </row>
    <row r="1802" spans="1:13" s="34" customFormat="1">
      <c r="A1802" s="73"/>
      <c r="B1802" s="3"/>
      <c r="C1802" s="3"/>
      <c r="D1802" s="3"/>
      <c r="E1802" s="3"/>
      <c r="F1802" s="3"/>
      <c r="G1802" s="3"/>
      <c r="H1802" s="3"/>
      <c r="I1802" s="3"/>
      <c r="J1802" s="3"/>
      <c r="K1802" s="3"/>
      <c r="L1802" s="3"/>
      <c r="M1802" s="3"/>
    </row>
    <row r="1803" spans="1:13" s="34" customFormat="1">
      <c r="A1803" s="73"/>
      <c r="B1803" s="3"/>
      <c r="C1803" s="3"/>
      <c r="D1803" s="3"/>
      <c r="E1803" s="3"/>
      <c r="F1803" s="3"/>
      <c r="G1803" s="3"/>
      <c r="H1803" s="3"/>
      <c r="I1803" s="3"/>
      <c r="J1803" s="3"/>
      <c r="K1803" s="3"/>
      <c r="L1803" s="3"/>
      <c r="M1803" s="3"/>
    </row>
    <row r="1804" spans="1:13" s="34" customFormat="1">
      <c r="A1804" s="73"/>
      <c r="B1804" s="3"/>
      <c r="C1804" s="3"/>
      <c r="D1804" s="3"/>
      <c r="E1804" s="3"/>
      <c r="F1804" s="3"/>
      <c r="G1804" s="3"/>
      <c r="H1804" s="3"/>
      <c r="I1804" s="3"/>
      <c r="J1804" s="3"/>
      <c r="K1804" s="3"/>
      <c r="L1804" s="3"/>
      <c r="M1804" s="3"/>
    </row>
    <row r="1805" spans="1:13" s="34" customFormat="1">
      <c r="A1805" s="73"/>
      <c r="B1805" s="3"/>
      <c r="C1805" s="3"/>
      <c r="D1805" s="3"/>
      <c r="E1805" s="3"/>
      <c r="F1805" s="3"/>
      <c r="G1805" s="3"/>
      <c r="H1805" s="3"/>
      <c r="I1805" s="3"/>
      <c r="J1805" s="3"/>
      <c r="K1805" s="3"/>
      <c r="L1805" s="3"/>
      <c r="M1805" s="3"/>
    </row>
    <row r="1806" spans="1:13" s="34" customFormat="1">
      <c r="A1806" s="73"/>
      <c r="B1806" s="3"/>
      <c r="C1806" s="3"/>
      <c r="D1806" s="3"/>
      <c r="E1806" s="3"/>
      <c r="F1806" s="3"/>
      <c r="G1806" s="3"/>
      <c r="H1806" s="3"/>
      <c r="I1806" s="3"/>
      <c r="J1806" s="3"/>
      <c r="K1806" s="3"/>
      <c r="L1806" s="3"/>
      <c r="M1806" s="3"/>
    </row>
    <row r="1807" spans="1:13" s="34" customFormat="1">
      <c r="A1807" s="73"/>
      <c r="B1807" s="3"/>
      <c r="C1807" s="3"/>
      <c r="D1807" s="3"/>
      <c r="E1807" s="3"/>
      <c r="F1807" s="3"/>
      <c r="G1807" s="3"/>
      <c r="H1807" s="3"/>
      <c r="I1807" s="3"/>
      <c r="J1807" s="3"/>
      <c r="K1807" s="3"/>
      <c r="L1807" s="3"/>
      <c r="M1807" s="3"/>
    </row>
    <row r="1808" spans="1:13" s="34" customFormat="1">
      <c r="A1808" s="73"/>
      <c r="B1808" s="3"/>
      <c r="C1808" s="3"/>
      <c r="D1808" s="3"/>
      <c r="E1808" s="3"/>
      <c r="F1808" s="3"/>
      <c r="G1808" s="3"/>
      <c r="H1808" s="3"/>
      <c r="I1808" s="3"/>
      <c r="J1808" s="3"/>
      <c r="K1808" s="3"/>
      <c r="L1808" s="3"/>
      <c r="M1808" s="3"/>
    </row>
    <row r="1809" spans="1:13" s="34" customFormat="1">
      <c r="A1809" s="73"/>
      <c r="B1809" s="3"/>
      <c r="C1809" s="3"/>
      <c r="D1809" s="3"/>
      <c r="E1809" s="3"/>
      <c r="F1809" s="3"/>
      <c r="G1809" s="3"/>
      <c r="H1809" s="3"/>
      <c r="I1809" s="3"/>
      <c r="J1809" s="3"/>
      <c r="K1809" s="3"/>
      <c r="L1809" s="3"/>
      <c r="M1809" s="3"/>
    </row>
    <row r="1810" spans="1:13" s="34" customFormat="1">
      <c r="A1810" s="73"/>
      <c r="B1810" s="3"/>
      <c r="C1810" s="3"/>
      <c r="D1810" s="3"/>
      <c r="E1810" s="3"/>
      <c r="F1810" s="3"/>
      <c r="G1810" s="3"/>
      <c r="H1810" s="3"/>
      <c r="I1810" s="3"/>
      <c r="J1810" s="3"/>
      <c r="K1810" s="3"/>
      <c r="L1810" s="3"/>
      <c r="M1810" s="3"/>
    </row>
    <row r="1811" spans="1:13" s="34" customFormat="1">
      <c r="A1811" s="73"/>
      <c r="B1811" s="3"/>
      <c r="C1811" s="3"/>
      <c r="D1811" s="3"/>
      <c r="E1811" s="3"/>
      <c r="F1811" s="3"/>
      <c r="G1811" s="3"/>
      <c r="H1811" s="3"/>
      <c r="I1811" s="3"/>
      <c r="J1811" s="3"/>
      <c r="K1811" s="3"/>
      <c r="L1811" s="3"/>
      <c r="M1811" s="3"/>
    </row>
    <row r="1812" spans="1:13" s="34" customFormat="1">
      <c r="A1812" s="73"/>
      <c r="B1812" s="3"/>
      <c r="C1812" s="3"/>
      <c r="D1812" s="3"/>
      <c r="E1812" s="3"/>
      <c r="F1812" s="3"/>
      <c r="G1812" s="3"/>
      <c r="H1812" s="3"/>
      <c r="I1812" s="3"/>
      <c r="J1812" s="3"/>
      <c r="K1812" s="3"/>
      <c r="L1812" s="3"/>
      <c r="M1812" s="3"/>
    </row>
    <row r="1813" spans="1:13" s="34" customFormat="1">
      <c r="A1813" s="73"/>
      <c r="B1813" s="3"/>
      <c r="C1813" s="3"/>
      <c r="D1813" s="3"/>
      <c r="E1813" s="3"/>
      <c r="F1813" s="3"/>
      <c r="G1813" s="3"/>
      <c r="H1813" s="3"/>
      <c r="I1813" s="3"/>
      <c r="J1813" s="3"/>
      <c r="K1813" s="3"/>
      <c r="L1813" s="3"/>
      <c r="M1813" s="3"/>
    </row>
    <row r="1814" spans="1:13" s="34" customFormat="1">
      <c r="A1814" s="73"/>
      <c r="B1814" s="3"/>
      <c r="C1814" s="3"/>
      <c r="D1814" s="3"/>
      <c r="E1814" s="3"/>
      <c r="F1814" s="3"/>
      <c r="G1814" s="3"/>
      <c r="H1814" s="3"/>
      <c r="I1814" s="3"/>
      <c r="J1814" s="3"/>
      <c r="K1814" s="3"/>
      <c r="L1814" s="3"/>
      <c r="M1814" s="3"/>
    </row>
    <row r="1815" spans="1:13" s="34" customFormat="1">
      <c r="A1815" s="73"/>
      <c r="B1815" s="3"/>
      <c r="C1815" s="3"/>
      <c r="D1815" s="3"/>
      <c r="E1815" s="3"/>
      <c r="F1815" s="3"/>
      <c r="G1815" s="3"/>
      <c r="H1815" s="3"/>
      <c r="I1815" s="3"/>
      <c r="J1815" s="3"/>
      <c r="K1815" s="3"/>
      <c r="L1815" s="3"/>
      <c r="M1815" s="3"/>
    </row>
    <row r="1816" spans="1:13" s="34" customFormat="1">
      <c r="A1816" s="73"/>
      <c r="B1816" s="3"/>
      <c r="C1816" s="3"/>
      <c r="D1816" s="3"/>
      <c r="E1816" s="3"/>
      <c r="F1816" s="3"/>
      <c r="G1816" s="3"/>
      <c r="H1816" s="3"/>
      <c r="I1816" s="3"/>
      <c r="J1816" s="3"/>
      <c r="K1816" s="3"/>
      <c r="L1816" s="3"/>
      <c r="M1816" s="3"/>
    </row>
    <row r="1817" spans="1:13" s="34" customFormat="1">
      <c r="A1817" s="73"/>
      <c r="B1817" s="3"/>
      <c r="C1817" s="3"/>
      <c r="D1817" s="3"/>
      <c r="E1817" s="3"/>
      <c r="F1817" s="3"/>
      <c r="G1817" s="3"/>
      <c r="H1817" s="3"/>
      <c r="I1817" s="3"/>
      <c r="J1817" s="3"/>
      <c r="K1817" s="3"/>
      <c r="L1817" s="3"/>
      <c r="M1817" s="3"/>
    </row>
    <row r="1818" spans="1:13" s="34" customFormat="1">
      <c r="A1818" s="73"/>
      <c r="B1818" s="3"/>
      <c r="C1818" s="3"/>
      <c r="D1818" s="3"/>
      <c r="E1818" s="3"/>
      <c r="F1818" s="3"/>
      <c r="G1818" s="3"/>
      <c r="H1818" s="3"/>
      <c r="I1818" s="3"/>
      <c r="J1818" s="3"/>
      <c r="K1818" s="3"/>
      <c r="L1818" s="3"/>
      <c r="M1818" s="3"/>
    </row>
    <row r="1819" spans="1:13" s="34" customFormat="1">
      <c r="A1819" s="73"/>
      <c r="B1819" s="3"/>
      <c r="C1819" s="3"/>
      <c r="D1819" s="3"/>
      <c r="E1819" s="3"/>
      <c r="F1819" s="3"/>
      <c r="G1819" s="3"/>
      <c r="H1819" s="3"/>
      <c r="I1819" s="3"/>
      <c r="J1819" s="3"/>
      <c r="K1819" s="3"/>
      <c r="L1819" s="3"/>
      <c r="M1819" s="3"/>
    </row>
    <row r="1820" spans="1:13" s="34" customFormat="1">
      <c r="A1820" s="73"/>
      <c r="B1820" s="3"/>
      <c r="C1820" s="3"/>
      <c r="D1820" s="3"/>
      <c r="E1820" s="3"/>
      <c r="F1820" s="3"/>
      <c r="G1820" s="3"/>
      <c r="H1820" s="3"/>
      <c r="I1820" s="3"/>
      <c r="J1820" s="3"/>
      <c r="K1820" s="3"/>
      <c r="L1820" s="3"/>
      <c r="M1820" s="3"/>
    </row>
    <row r="1821" spans="1:13" s="34" customFormat="1">
      <c r="A1821" s="73"/>
      <c r="B1821" s="3"/>
      <c r="C1821" s="3"/>
      <c r="D1821" s="3"/>
      <c r="E1821" s="3"/>
      <c r="F1821" s="3"/>
      <c r="G1821" s="3"/>
      <c r="H1821" s="3"/>
      <c r="I1821" s="3"/>
      <c r="J1821" s="3"/>
      <c r="K1821" s="3"/>
      <c r="L1821" s="3"/>
      <c r="M1821" s="3"/>
    </row>
    <row r="1822" spans="1:13" s="34" customFormat="1">
      <c r="A1822" s="73"/>
      <c r="B1822" s="3"/>
      <c r="C1822" s="3"/>
      <c r="D1822" s="3"/>
      <c r="E1822" s="3"/>
      <c r="F1822" s="3"/>
      <c r="G1822" s="3"/>
      <c r="H1822" s="3"/>
      <c r="I1822" s="3"/>
      <c r="J1822" s="3"/>
      <c r="K1822" s="3"/>
      <c r="L1822" s="3"/>
      <c r="M1822" s="3"/>
    </row>
    <row r="1823" spans="1:13" s="34" customFormat="1">
      <c r="A1823" s="73"/>
      <c r="B1823" s="3"/>
      <c r="C1823" s="3"/>
      <c r="D1823" s="3"/>
      <c r="E1823" s="3"/>
      <c r="F1823" s="3"/>
      <c r="G1823" s="3"/>
      <c r="H1823" s="3"/>
      <c r="I1823" s="3"/>
      <c r="J1823" s="3"/>
      <c r="K1823" s="3"/>
      <c r="L1823" s="3"/>
      <c r="M1823" s="3"/>
    </row>
    <row r="1824" spans="1:13" s="34" customFormat="1">
      <c r="A1824" s="73"/>
      <c r="B1824" s="3"/>
      <c r="C1824" s="3"/>
      <c r="D1824" s="3"/>
      <c r="E1824" s="3"/>
      <c r="F1824" s="3"/>
      <c r="G1824" s="3"/>
      <c r="H1824" s="3"/>
      <c r="I1824" s="3"/>
      <c r="J1824" s="3"/>
      <c r="K1824" s="3"/>
      <c r="L1824" s="3"/>
      <c r="M1824" s="3"/>
    </row>
    <row r="1825" spans="1:13" s="34" customFormat="1">
      <c r="A1825" s="73"/>
      <c r="B1825" s="3"/>
      <c r="C1825" s="3"/>
      <c r="D1825" s="3"/>
      <c r="E1825" s="3"/>
      <c r="F1825" s="3"/>
      <c r="G1825" s="3"/>
      <c r="H1825" s="3"/>
      <c r="I1825" s="3"/>
      <c r="J1825" s="3"/>
      <c r="K1825" s="3"/>
      <c r="L1825" s="3"/>
      <c r="M1825" s="3"/>
    </row>
    <row r="1826" spans="1:13" s="34" customFormat="1">
      <c r="A1826" s="73"/>
      <c r="B1826" s="3"/>
      <c r="C1826" s="3"/>
      <c r="D1826" s="3"/>
      <c r="E1826" s="3"/>
      <c r="F1826" s="3"/>
      <c r="G1826" s="3"/>
      <c r="H1826" s="3"/>
      <c r="I1826" s="3"/>
      <c r="J1826" s="3"/>
      <c r="K1826" s="3"/>
      <c r="L1826" s="3"/>
      <c r="M1826" s="3"/>
    </row>
    <row r="1827" spans="1:13" s="34" customFormat="1">
      <c r="A1827" s="73"/>
      <c r="B1827" s="3"/>
      <c r="C1827" s="3"/>
      <c r="D1827" s="3"/>
      <c r="E1827" s="3"/>
      <c r="F1827" s="3"/>
      <c r="G1827" s="3"/>
      <c r="H1827" s="3"/>
      <c r="I1827" s="3"/>
      <c r="J1827" s="3"/>
      <c r="K1827" s="3"/>
      <c r="L1827" s="3"/>
      <c r="M1827" s="3"/>
    </row>
    <row r="1828" spans="1:13" s="34" customFormat="1">
      <c r="A1828" s="73"/>
      <c r="B1828" s="3"/>
      <c r="C1828" s="3"/>
      <c r="D1828" s="3"/>
      <c r="E1828" s="3"/>
      <c r="F1828" s="3"/>
      <c r="G1828" s="3"/>
      <c r="H1828" s="3"/>
      <c r="I1828" s="3"/>
      <c r="J1828" s="3"/>
      <c r="K1828" s="3"/>
      <c r="L1828" s="3"/>
      <c r="M1828" s="3"/>
    </row>
    <row r="1829" spans="1:13" s="34" customFormat="1">
      <c r="A1829" s="73"/>
      <c r="B1829" s="3"/>
      <c r="C1829" s="3"/>
      <c r="D1829" s="3"/>
      <c r="E1829" s="3"/>
      <c r="F1829" s="3"/>
      <c r="G1829" s="3"/>
      <c r="H1829" s="3"/>
      <c r="I1829" s="3"/>
      <c r="J1829" s="3"/>
      <c r="K1829" s="3"/>
      <c r="L1829" s="3"/>
      <c r="M1829" s="3"/>
    </row>
    <row r="1830" spans="1:13" s="34" customFormat="1">
      <c r="A1830" s="73"/>
      <c r="B1830" s="3"/>
      <c r="C1830" s="3"/>
      <c r="D1830" s="3"/>
      <c r="E1830" s="3"/>
      <c r="F1830" s="3"/>
      <c r="G1830" s="3"/>
      <c r="H1830" s="3"/>
      <c r="I1830" s="3"/>
      <c r="J1830" s="3"/>
      <c r="K1830" s="3"/>
      <c r="L1830" s="3"/>
      <c r="M1830" s="3"/>
    </row>
    <row r="1831" spans="1:13" s="34" customFormat="1">
      <c r="A1831" s="73"/>
      <c r="B1831" s="3"/>
      <c r="C1831" s="3"/>
      <c r="D1831" s="3"/>
      <c r="E1831" s="3"/>
      <c r="F1831" s="3"/>
      <c r="G1831" s="3"/>
      <c r="H1831" s="3"/>
      <c r="I1831" s="3"/>
      <c r="J1831" s="3"/>
      <c r="K1831" s="3"/>
      <c r="L1831" s="3"/>
      <c r="M1831" s="3"/>
    </row>
    <row r="1832" spans="1:13" s="34" customFormat="1">
      <c r="A1832" s="73"/>
      <c r="B1832" s="3"/>
      <c r="C1832" s="3"/>
      <c r="D1832" s="3"/>
      <c r="E1832" s="3"/>
      <c r="F1832" s="3"/>
      <c r="G1832" s="3"/>
      <c r="H1832" s="3"/>
      <c r="I1832" s="3"/>
      <c r="J1832" s="3"/>
      <c r="K1832" s="3"/>
      <c r="L1832" s="3"/>
      <c r="M1832" s="3"/>
    </row>
    <row r="1833" spans="1:13" s="34" customFormat="1">
      <c r="A1833" s="73"/>
      <c r="B1833" s="3"/>
      <c r="C1833" s="3"/>
      <c r="D1833" s="3"/>
      <c r="E1833" s="3"/>
      <c r="F1833" s="3"/>
      <c r="G1833" s="3"/>
      <c r="H1833" s="3"/>
      <c r="I1833" s="3"/>
      <c r="J1833" s="3"/>
      <c r="K1833" s="3"/>
      <c r="L1833" s="3"/>
      <c r="M1833" s="3"/>
    </row>
    <row r="1834" spans="1:13" s="34" customFormat="1">
      <c r="A1834" s="73"/>
      <c r="B1834" s="3"/>
      <c r="C1834" s="3"/>
      <c r="D1834" s="3"/>
      <c r="E1834" s="3"/>
      <c r="F1834" s="3"/>
      <c r="G1834" s="3"/>
      <c r="H1834" s="3"/>
      <c r="I1834" s="3"/>
      <c r="J1834" s="3"/>
      <c r="K1834" s="3"/>
      <c r="L1834" s="3"/>
      <c r="M1834" s="3"/>
    </row>
    <row r="1835" spans="1:13" s="34" customFormat="1">
      <c r="A1835" s="73"/>
      <c r="B1835" s="3"/>
      <c r="C1835" s="3"/>
      <c r="D1835" s="3"/>
      <c r="E1835" s="3"/>
      <c r="F1835" s="3"/>
      <c r="G1835" s="3"/>
      <c r="H1835" s="3"/>
      <c r="I1835" s="3"/>
      <c r="J1835" s="3"/>
      <c r="K1835" s="3"/>
      <c r="L1835" s="3"/>
      <c r="M1835" s="3"/>
    </row>
    <row r="1836" spans="1:13" s="34" customFormat="1">
      <c r="A1836" s="73"/>
      <c r="B1836" s="3"/>
      <c r="C1836" s="3"/>
      <c r="D1836" s="3"/>
      <c r="E1836" s="3"/>
      <c r="F1836" s="3"/>
      <c r="G1836" s="3"/>
      <c r="H1836" s="3"/>
      <c r="I1836" s="3"/>
      <c r="J1836" s="3"/>
      <c r="K1836" s="3"/>
      <c r="L1836" s="3"/>
      <c r="M1836" s="3"/>
    </row>
    <row r="1837" spans="1:13" s="34" customFormat="1">
      <c r="A1837" s="73"/>
      <c r="B1837" s="3"/>
      <c r="C1837" s="3"/>
      <c r="D1837" s="3"/>
      <c r="E1837" s="3"/>
      <c r="F1837" s="3"/>
      <c r="G1837" s="3"/>
      <c r="H1837" s="3"/>
      <c r="I1837" s="3"/>
      <c r="J1837" s="3"/>
      <c r="K1837" s="3"/>
      <c r="L1837" s="3"/>
      <c r="M1837" s="3"/>
    </row>
    <row r="1838" spans="1:13" s="34" customFormat="1">
      <c r="A1838" s="73"/>
      <c r="B1838" s="3"/>
      <c r="C1838" s="3"/>
      <c r="D1838" s="3"/>
      <c r="E1838" s="3"/>
      <c r="F1838" s="3"/>
      <c r="G1838" s="3"/>
      <c r="H1838" s="3"/>
      <c r="I1838" s="3"/>
      <c r="J1838" s="3"/>
      <c r="K1838" s="3"/>
      <c r="L1838" s="3"/>
      <c r="M1838" s="3"/>
    </row>
    <row r="1839" spans="1:13" s="34" customFormat="1">
      <c r="A1839" s="73"/>
      <c r="B1839" s="3"/>
      <c r="C1839" s="3"/>
      <c r="D1839" s="3"/>
      <c r="E1839" s="3"/>
      <c r="F1839" s="3"/>
      <c r="G1839" s="3"/>
      <c r="H1839" s="3"/>
      <c r="I1839" s="3"/>
      <c r="J1839" s="3"/>
      <c r="K1839" s="3"/>
      <c r="L1839" s="3"/>
      <c r="M1839" s="3"/>
    </row>
    <row r="1840" spans="1:13" s="34" customFormat="1">
      <c r="A1840" s="73"/>
      <c r="B1840" s="3"/>
      <c r="C1840" s="3"/>
      <c r="D1840" s="3"/>
      <c r="E1840" s="3"/>
      <c r="F1840" s="3"/>
      <c r="G1840" s="3"/>
      <c r="H1840" s="3"/>
      <c r="I1840" s="3"/>
      <c r="J1840" s="3"/>
      <c r="K1840" s="3"/>
      <c r="L1840" s="3"/>
      <c r="M1840" s="3"/>
    </row>
    <row r="1841" spans="1:13" s="34" customFormat="1">
      <c r="A1841" s="73"/>
      <c r="B1841" s="3"/>
      <c r="C1841" s="3"/>
      <c r="D1841" s="3"/>
      <c r="E1841" s="3"/>
      <c r="F1841" s="3"/>
      <c r="G1841" s="3"/>
      <c r="H1841" s="3"/>
      <c r="I1841" s="3"/>
      <c r="J1841" s="3"/>
      <c r="K1841" s="3"/>
      <c r="L1841" s="3"/>
      <c r="M1841" s="3"/>
    </row>
    <row r="1842" spans="1:13" s="34" customFormat="1">
      <c r="A1842" s="73"/>
      <c r="B1842" s="3"/>
      <c r="C1842" s="3"/>
      <c r="D1842" s="3"/>
      <c r="E1842" s="3"/>
      <c r="F1842" s="3"/>
      <c r="G1842" s="3"/>
      <c r="H1842" s="3"/>
      <c r="I1842" s="3"/>
      <c r="J1842" s="3"/>
      <c r="K1842" s="3"/>
      <c r="L1842" s="3"/>
      <c r="M1842" s="3"/>
    </row>
    <row r="1843" spans="1:13" s="34" customFormat="1">
      <c r="A1843" s="73"/>
      <c r="B1843" s="3"/>
      <c r="C1843" s="3"/>
      <c r="D1843" s="3"/>
      <c r="E1843" s="3"/>
      <c r="F1843" s="3"/>
      <c r="G1843" s="3"/>
      <c r="H1843" s="3"/>
      <c r="I1843" s="3"/>
      <c r="J1843" s="3"/>
      <c r="K1843" s="3"/>
      <c r="L1843" s="3"/>
      <c r="M1843" s="3"/>
    </row>
    <row r="1844" spans="1:13" s="34" customFormat="1">
      <c r="A1844" s="73"/>
      <c r="B1844" s="3"/>
      <c r="C1844" s="3"/>
      <c r="D1844" s="3"/>
      <c r="E1844" s="3"/>
      <c r="F1844" s="3"/>
      <c r="G1844" s="3"/>
      <c r="H1844" s="3"/>
      <c r="I1844" s="3"/>
      <c r="J1844" s="3"/>
      <c r="K1844" s="3"/>
      <c r="L1844" s="3"/>
      <c r="M1844" s="3"/>
    </row>
    <row r="1845" spans="1:13" s="34" customFormat="1">
      <c r="A1845" s="73"/>
      <c r="B1845" s="3"/>
      <c r="C1845" s="3"/>
      <c r="D1845" s="3"/>
      <c r="E1845" s="3"/>
      <c r="F1845" s="3"/>
      <c r="G1845" s="3"/>
      <c r="H1845" s="3"/>
      <c r="I1845" s="3"/>
      <c r="J1845" s="3"/>
      <c r="K1845" s="3"/>
      <c r="L1845" s="3"/>
      <c r="M1845" s="3"/>
    </row>
    <row r="1846" spans="1:13" s="34" customFormat="1">
      <c r="A1846" s="73"/>
      <c r="B1846" s="3"/>
      <c r="C1846" s="3"/>
      <c r="D1846" s="3"/>
      <c r="E1846" s="3"/>
      <c r="F1846" s="3"/>
      <c r="G1846" s="3"/>
      <c r="H1846" s="3"/>
      <c r="I1846" s="3"/>
      <c r="J1846" s="3"/>
      <c r="K1846" s="3"/>
      <c r="L1846" s="3"/>
      <c r="M1846" s="3"/>
    </row>
    <row r="1847" spans="1:13" s="34" customFormat="1">
      <c r="A1847" s="73"/>
      <c r="B1847" s="3"/>
      <c r="C1847" s="3"/>
      <c r="D1847" s="3"/>
      <c r="E1847" s="3"/>
      <c r="F1847" s="3"/>
      <c r="G1847" s="3"/>
      <c r="H1847" s="3"/>
      <c r="I1847" s="3"/>
      <c r="J1847" s="3"/>
      <c r="K1847" s="3"/>
      <c r="L1847" s="3"/>
      <c r="M1847" s="3"/>
    </row>
    <row r="1848" spans="1:13" s="34" customFormat="1">
      <c r="A1848" s="73"/>
      <c r="B1848" s="3"/>
      <c r="C1848" s="3"/>
      <c r="D1848" s="3"/>
      <c r="E1848" s="3"/>
      <c r="F1848" s="3"/>
      <c r="G1848" s="3"/>
      <c r="H1848" s="3"/>
      <c r="I1848" s="3"/>
      <c r="J1848" s="3"/>
      <c r="K1848" s="3"/>
      <c r="L1848" s="3"/>
      <c r="M1848" s="3"/>
    </row>
    <row r="1849" spans="1:13" s="34" customFormat="1">
      <c r="A1849" s="73"/>
      <c r="B1849" s="3"/>
      <c r="C1849" s="3"/>
      <c r="D1849" s="3"/>
      <c r="E1849" s="3"/>
      <c r="F1849" s="3"/>
      <c r="G1849" s="3"/>
      <c r="H1849" s="3"/>
      <c r="I1849" s="3"/>
      <c r="J1849" s="3"/>
      <c r="K1849" s="3"/>
      <c r="L1849" s="3"/>
      <c r="M1849" s="3"/>
    </row>
    <row r="1850" spans="1:13" s="34" customFormat="1">
      <c r="A1850" s="73"/>
      <c r="B1850" s="3"/>
      <c r="C1850" s="3"/>
      <c r="D1850" s="3"/>
      <c r="E1850" s="3"/>
      <c r="F1850" s="3"/>
      <c r="G1850" s="3"/>
      <c r="H1850" s="3"/>
      <c r="I1850" s="3"/>
      <c r="J1850" s="3"/>
      <c r="K1850" s="3"/>
      <c r="L1850" s="3"/>
      <c r="M1850" s="3"/>
    </row>
    <row r="1851" spans="1:13" s="34" customFormat="1">
      <c r="A1851" s="73"/>
      <c r="B1851" s="3"/>
      <c r="C1851" s="3"/>
      <c r="D1851" s="3"/>
      <c r="E1851" s="3"/>
      <c r="F1851" s="3"/>
      <c r="G1851" s="3"/>
      <c r="H1851" s="3"/>
      <c r="I1851" s="3"/>
      <c r="J1851" s="3"/>
      <c r="K1851" s="3"/>
      <c r="L1851" s="3"/>
      <c r="M1851" s="3"/>
    </row>
    <row r="1852" spans="1:13" s="34" customFormat="1">
      <c r="A1852" s="73"/>
      <c r="B1852" s="3"/>
      <c r="C1852" s="3"/>
      <c r="D1852" s="3"/>
      <c r="E1852" s="3"/>
      <c r="F1852" s="3"/>
      <c r="G1852" s="3"/>
      <c r="H1852" s="3"/>
      <c r="I1852" s="3"/>
      <c r="J1852" s="3"/>
      <c r="K1852" s="3"/>
      <c r="L1852" s="3"/>
      <c r="M1852" s="3"/>
    </row>
    <row r="1853" spans="1:13" s="34" customFormat="1">
      <c r="A1853" s="73"/>
      <c r="B1853" s="3"/>
      <c r="C1853" s="3"/>
      <c r="D1853" s="3"/>
      <c r="E1853" s="3"/>
      <c r="F1853" s="3"/>
      <c r="G1853" s="3"/>
      <c r="H1853" s="3"/>
      <c r="I1853" s="3"/>
      <c r="J1853" s="3"/>
      <c r="K1853" s="3"/>
      <c r="L1853" s="3"/>
      <c r="M1853" s="3"/>
    </row>
    <row r="1854" spans="1:13" s="34" customFormat="1">
      <c r="A1854" s="73"/>
      <c r="B1854" s="3"/>
      <c r="C1854" s="3"/>
      <c r="D1854" s="3"/>
      <c r="E1854" s="3"/>
      <c r="F1854" s="3"/>
      <c r="G1854" s="3"/>
      <c r="H1854" s="3"/>
      <c r="I1854" s="3"/>
      <c r="J1854" s="3"/>
      <c r="K1854" s="3"/>
      <c r="L1854" s="3"/>
      <c r="M1854" s="3"/>
    </row>
    <row r="1855" spans="1:13" s="34" customFormat="1">
      <c r="A1855" s="73"/>
      <c r="B1855" s="3"/>
      <c r="C1855" s="3"/>
      <c r="D1855" s="3"/>
      <c r="E1855" s="3"/>
      <c r="F1855" s="3"/>
      <c r="G1855" s="3"/>
      <c r="H1855" s="3"/>
      <c r="I1855" s="3"/>
      <c r="J1855" s="3"/>
      <c r="K1855" s="3"/>
      <c r="L1855" s="3"/>
      <c r="M1855" s="3"/>
    </row>
    <row r="1856" spans="1:13" s="34" customFormat="1">
      <c r="A1856" s="73"/>
      <c r="B1856" s="3"/>
      <c r="C1856" s="3"/>
      <c r="D1856" s="3"/>
      <c r="E1856" s="3"/>
      <c r="F1856" s="3"/>
      <c r="G1856" s="3"/>
      <c r="H1856" s="3"/>
      <c r="I1856" s="3"/>
      <c r="J1856" s="3"/>
      <c r="K1856" s="3"/>
      <c r="L1856" s="3"/>
      <c r="M1856" s="3"/>
    </row>
    <row r="1857" spans="1:13" s="34" customFormat="1">
      <c r="A1857" s="73"/>
      <c r="B1857" s="3"/>
      <c r="C1857" s="3"/>
      <c r="D1857" s="3"/>
      <c r="E1857" s="3"/>
      <c r="F1857" s="3"/>
      <c r="G1857" s="3"/>
      <c r="H1857" s="3"/>
      <c r="I1857" s="3"/>
      <c r="J1857" s="3"/>
      <c r="K1857" s="3"/>
      <c r="L1857" s="3"/>
      <c r="M1857" s="3"/>
    </row>
    <row r="1858" spans="1:13" s="34" customFormat="1">
      <c r="A1858" s="73"/>
      <c r="B1858" s="3"/>
      <c r="C1858" s="3"/>
      <c r="D1858" s="3"/>
      <c r="E1858" s="3"/>
      <c r="F1858" s="3"/>
      <c r="G1858" s="3"/>
      <c r="H1858" s="3"/>
      <c r="I1858" s="3"/>
      <c r="J1858" s="3"/>
      <c r="K1858" s="3"/>
      <c r="L1858" s="3"/>
      <c r="M1858" s="3"/>
    </row>
    <row r="1859" spans="1:13" s="34" customFormat="1">
      <c r="A1859" s="73"/>
      <c r="B1859" s="3"/>
      <c r="C1859" s="3"/>
      <c r="D1859" s="3"/>
      <c r="E1859" s="3"/>
      <c r="F1859" s="3"/>
      <c r="G1859" s="3"/>
      <c r="H1859" s="3"/>
      <c r="I1859" s="3"/>
      <c r="J1859" s="3"/>
      <c r="K1859" s="3"/>
      <c r="L1859" s="3"/>
      <c r="M1859" s="3"/>
    </row>
    <row r="1860" spans="1:13" s="34" customFormat="1">
      <c r="A1860" s="73"/>
      <c r="B1860" s="3"/>
      <c r="C1860" s="3"/>
      <c r="D1860" s="3"/>
      <c r="E1860" s="3"/>
      <c r="F1860" s="3"/>
      <c r="G1860" s="3"/>
      <c r="H1860" s="3"/>
      <c r="I1860" s="3"/>
      <c r="J1860" s="3"/>
      <c r="K1860" s="3"/>
      <c r="L1860" s="3"/>
      <c r="M1860" s="3"/>
    </row>
    <row r="1861" spans="1:13" s="34" customFormat="1">
      <c r="A1861" s="73"/>
      <c r="B1861" s="3"/>
      <c r="C1861" s="3"/>
      <c r="D1861" s="3"/>
      <c r="E1861" s="3"/>
      <c r="F1861" s="3"/>
      <c r="G1861" s="3"/>
      <c r="H1861" s="3"/>
      <c r="I1861" s="3"/>
      <c r="J1861" s="3"/>
      <c r="K1861" s="3"/>
      <c r="L1861" s="3"/>
      <c r="M1861" s="3"/>
    </row>
    <row r="1862" spans="1:13" s="34" customFormat="1">
      <c r="A1862" s="73"/>
      <c r="B1862" s="3"/>
      <c r="C1862" s="3"/>
      <c r="D1862" s="3"/>
      <c r="E1862" s="3"/>
      <c r="F1862" s="3"/>
      <c r="G1862" s="3"/>
      <c r="H1862" s="3"/>
      <c r="I1862" s="3"/>
      <c r="J1862" s="3"/>
      <c r="K1862" s="3"/>
      <c r="L1862" s="3"/>
      <c r="M1862" s="3"/>
    </row>
    <row r="1863" spans="1:13" s="34" customFormat="1">
      <c r="A1863" s="73"/>
      <c r="B1863" s="3"/>
      <c r="C1863" s="3"/>
      <c r="D1863" s="3"/>
      <c r="E1863" s="3"/>
      <c r="F1863" s="3"/>
      <c r="G1863" s="3"/>
      <c r="H1863" s="3"/>
      <c r="I1863" s="3"/>
      <c r="J1863" s="3"/>
      <c r="K1863" s="3"/>
      <c r="L1863" s="3"/>
      <c r="M1863" s="3"/>
    </row>
    <row r="1864" spans="1:13" s="34" customFormat="1">
      <c r="A1864" s="73"/>
      <c r="B1864" s="3"/>
      <c r="C1864" s="3"/>
      <c r="D1864" s="3"/>
      <c r="E1864" s="3"/>
      <c r="F1864" s="3"/>
      <c r="G1864" s="3"/>
      <c r="H1864" s="3"/>
      <c r="I1864" s="3"/>
      <c r="J1864" s="3"/>
      <c r="K1864" s="3"/>
      <c r="L1864" s="3"/>
      <c r="M1864" s="3"/>
    </row>
    <row r="1865" spans="1:13" s="34" customFormat="1">
      <c r="A1865" s="73"/>
      <c r="B1865" s="3"/>
      <c r="C1865" s="3"/>
      <c r="D1865" s="3"/>
      <c r="E1865" s="3"/>
      <c r="F1865" s="3"/>
      <c r="G1865" s="3"/>
      <c r="H1865" s="3"/>
      <c r="I1865" s="3"/>
      <c r="J1865" s="3"/>
      <c r="K1865" s="3"/>
      <c r="L1865" s="3"/>
      <c r="M1865" s="3"/>
    </row>
    <row r="1866" spans="1:13" s="34" customFormat="1">
      <c r="A1866" s="73"/>
      <c r="B1866" s="3"/>
      <c r="C1866" s="3"/>
      <c r="D1866" s="3"/>
      <c r="E1866" s="3"/>
      <c r="F1866" s="3"/>
      <c r="G1866" s="3"/>
      <c r="H1866" s="3"/>
      <c r="I1866" s="3"/>
      <c r="J1866" s="3"/>
      <c r="K1866" s="3"/>
      <c r="L1866" s="3"/>
      <c r="M1866" s="3"/>
    </row>
    <row r="1867" spans="1:13" s="34" customFormat="1">
      <c r="A1867" s="73"/>
      <c r="B1867" s="3"/>
      <c r="C1867" s="3"/>
      <c r="D1867" s="3"/>
      <c r="E1867" s="3"/>
      <c r="F1867" s="3"/>
      <c r="G1867" s="3"/>
      <c r="H1867" s="3"/>
      <c r="I1867" s="3"/>
      <c r="J1867" s="3"/>
      <c r="K1867" s="3"/>
      <c r="L1867" s="3"/>
      <c r="M1867" s="3"/>
    </row>
    <row r="1868" spans="1:13" s="34" customFormat="1">
      <c r="A1868" s="73"/>
      <c r="B1868" s="3"/>
      <c r="C1868" s="3"/>
      <c r="D1868" s="3"/>
      <c r="E1868" s="3"/>
      <c r="F1868" s="3"/>
      <c r="G1868" s="3"/>
      <c r="H1868" s="3"/>
      <c r="I1868" s="3"/>
      <c r="J1868" s="3"/>
      <c r="K1868" s="3"/>
      <c r="L1868" s="3"/>
      <c r="M1868" s="3"/>
    </row>
    <row r="1869" spans="1:13" s="34" customFormat="1">
      <c r="A1869" s="73"/>
      <c r="B1869" s="3"/>
      <c r="C1869" s="3"/>
      <c r="D1869" s="3"/>
      <c r="E1869" s="3"/>
      <c r="F1869" s="3"/>
      <c r="G1869" s="3"/>
      <c r="H1869" s="3"/>
      <c r="I1869" s="3"/>
      <c r="J1869" s="3"/>
      <c r="K1869" s="3"/>
      <c r="L1869" s="3"/>
      <c r="M1869" s="3"/>
    </row>
    <row r="1870" spans="1:13" s="34" customFormat="1">
      <c r="A1870" s="73"/>
      <c r="B1870" s="3"/>
      <c r="C1870" s="3"/>
      <c r="D1870" s="3"/>
      <c r="E1870" s="3"/>
      <c r="F1870" s="3"/>
      <c r="G1870" s="3"/>
      <c r="H1870" s="3"/>
      <c r="I1870" s="3"/>
      <c r="J1870" s="3"/>
      <c r="K1870" s="3"/>
      <c r="L1870" s="3"/>
      <c r="M1870" s="3"/>
    </row>
    <row r="1871" spans="1:13" s="34" customFormat="1">
      <c r="A1871" s="73"/>
      <c r="B1871" s="3"/>
      <c r="C1871" s="3"/>
      <c r="D1871" s="3"/>
      <c r="E1871" s="3"/>
      <c r="F1871" s="3"/>
      <c r="G1871" s="3"/>
      <c r="H1871" s="3"/>
      <c r="I1871" s="3"/>
      <c r="J1871" s="3"/>
      <c r="K1871" s="3"/>
      <c r="L1871" s="3"/>
      <c r="M1871" s="3"/>
    </row>
    <row r="1872" spans="1:13" s="34" customFormat="1">
      <c r="A1872" s="73"/>
      <c r="B1872" s="3"/>
      <c r="C1872" s="3"/>
      <c r="D1872" s="3"/>
      <c r="E1872" s="3"/>
      <c r="F1872" s="3"/>
      <c r="G1872" s="3"/>
      <c r="H1872" s="3"/>
      <c r="I1872" s="3"/>
      <c r="J1872" s="3"/>
      <c r="K1872" s="3"/>
      <c r="L1872" s="3"/>
      <c r="M1872" s="3"/>
    </row>
    <row r="1873" spans="1:13" s="34" customFormat="1">
      <c r="A1873" s="73"/>
      <c r="B1873" s="3"/>
      <c r="C1873" s="3"/>
      <c r="D1873" s="3"/>
      <c r="E1873" s="3"/>
      <c r="F1873" s="3"/>
      <c r="G1873" s="3"/>
      <c r="H1873" s="3"/>
      <c r="I1873" s="3"/>
      <c r="J1873" s="3"/>
      <c r="K1873" s="3"/>
      <c r="L1873" s="3"/>
      <c r="M1873" s="3"/>
    </row>
    <row r="1874" spans="1:13" s="34" customFormat="1">
      <c r="A1874" s="73"/>
      <c r="B1874" s="3"/>
      <c r="C1874" s="3"/>
      <c r="D1874" s="3"/>
      <c r="E1874" s="3"/>
      <c r="F1874" s="3"/>
      <c r="G1874" s="3"/>
      <c r="H1874" s="3"/>
      <c r="I1874" s="3"/>
      <c r="J1874" s="3"/>
      <c r="K1874" s="3"/>
      <c r="L1874" s="3"/>
      <c r="M1874" s="3"/>
    </row>
    <row r="1875" spans="1:13" s="34" customFormat="1">
      <c r="A1875" s="73"/>
      <c r="B1875" s="3"/>
      <c r="C1875" s="3"/>
      <c r="D1875" s="3"/>
      <c r="E1875" s="3"/>
      <c r="F1875" s="3"/>
      <c r="G1875" s="3"/>
      <c r="H1875" s="3"/>
      <c r="I1875" s="3"/>
      <c r="J1875" s="3"/>
      <c r="K1875" s="3"/>
      <c r="L1875" s="3"/>
      <c r="M1875" s="3"/>
    </row>
    <row r="1876" spans="1:13" s="34" customFormat="1">
      <c r="A1876" s="73"/>
      <c r="B1876" s="3"/>
      <c r="C1876" s="3"/>
      <c r="D1876" s="3"/>
      <c r="E1876" s="3"/>
      <c r="F1876" s="3"/>
      <c r="G1876" s="3"/>
      <c r="H1876" s="3"/>
      <c r="I1876" s="3"/>
      <c r="J1876" s="3"/>
      <c r="K1876" s="3"/>
      <c r="L1876" s="3"/>
      <c r="M1876" s="3"/>
    </row>
    <row r="1877" spans="1:13" s="34" customFormat="1">
      <c r="A1877" s="73"/>
      <c r="B1877" s="3"/>
      <c r="C1877" s="3"/>
      <c r="D1877" s="3"/>
      <c r="E1877" s="3"/>
      <c r="F1877" s="3"/>
      <c r="G1877" s="3"/>
      <c r="H1877" s="3"/>
      <c r="I1877" s="3"/>
      <c r="J1877" s="3"/>
      <c r="K1877" s="3"/>
      <c r="L1877" s="3"/>
      <c r="M1877" s="3"/>
    </row>
    <row r="1878" spans="1:13" s="34" customFormat="1">
      <c r="A1878" s="73"/>
      <c r="B1878" s="3"/>
      <c r="C1878" s="3"/>
      <c r="D1878" s="3"/>
      <c r="E1878" s="3"/>
      <c r="F1878" s="3"/>
      <c r="G1878" s="3"/>
      <c r="H1878" s="3"/>
      <c r="I1878" s="3"/>
      <c r="J1878" s="3"/>
      <c r="K1878" s="3"/>
      <c r="L1878" s="3"/>
      <c r="M1878" s="3"/>
    </row>
    <row r="1879" spans="1:13" s="34" customFormat="1">
      <c r="A1879" s="73"/>
      <c r="B1879" s="3"/>
      <c r="C1879" s="3"/>
      <c r="D1879" s="3"/>
      <c r="E1879" s="3"/>
      <c r="F1879" s="3"/>
      <c r="G1879" s="3"/>
      <c r="H1879" s="3"/>
      <c r="I1879" s="3"/>
      <c r="J1879" s="3"/>
      <c r="K1879" s="3"/>
      <c r="L1879" s="3"/>
      <c r="M1879" s="3"/>
    </row>
    <row r="1880" spans="1:13" s="34" customFormat="1">
      <c r="A1880" s="73"/>
      <c r="B1880" s="3"/>
      <c r="C1880" s="3"/>
      <c r="D1880" s="3"/>
      <c r="E1880" s="3"/>
      <c r="F1880" s="3"/>
      <c r="G1880" s="3"/>
      <c r="H1880" s="3"/>
      <c r="I1880" s="3"/>
      <c r="J1880" s="3"/>
      <c r="K1880" s="3"/>
      <c r="L1880" s="3"/>
      <c r="M1880" s="3"/>
    </row>
    <row r="1881" spans="1:13" s="34" customFormat="1">
      <c r="A1881" s="73"/>
      <c r="B1881" s="3"/>
      <c r="C1881" s="3"/>
      <c r="D1881" s="3"/>
      <c r="E1881" s="3"/>
      <c r="F1881" s="3"/>
      <c r="G1881" s="3"/>
      <c r="H1881" s="3"/>
      <c r="I1881" s="3"/>
      <c r="J1881" s="3"/>
      <c r="K1881" s="3"/>
      <c r="L1881" s="3"/>
      <c r="M1881" s="3"/>
    </row>
    <row r="1882" spans="1:13" s="34" customFormat="1">
      <c r="A1882" s="73"/>
      <c r="B1882" s="3"/>
      <c r="C1882" s="3"/>
      <c r="D1882" s="3"/>
      <c r="E1882" s="3"/>
      <c r="F1882" s="3"/>
      <c r="G1882" s="3"/>
      <c r="H1882" s="3"/>
      <c r="I1882" s="3"/>
      <c r="J1882" s="3"/>
      <c r="K1882" s="3"/>
      <c r="L1882" s="3"/>
      <c r="M1882" s="3"/>
    </row>
    <row r="1883" spans="1:13" s="34" customFormat="1">
      <c r="A1883" s="73"/>
      <c r="B1883" s="3"/>
      <c r="C1883" s="3"/>
      <c r="D1883" s="3"/>
      <c r="E1883" s="3"/>
      <c r="F1883" s="3"/>
      <c r="G1883" s="3"/>
      <c r="H1883" s="3"/>
      <c r="I1883" s="3"/>
      <c r="J1883" s="3"/>
      <c r="K1883" s="3"/>
      <c r="L1883" s="3"/>
      <c r="M1883" s="3"/>
    </row>
    <row r="1884" spans="1:13" s="34" customFormat="1">
      <c r="A1884" s="73"/>
      <c r="B1884" s="3"/>
      <c r="C1884" s="3"/>
      <c r="D1884" s="3"/>
      <c r="E1884" s="3"/>
      <c r="F1884" s="3"/>
      <c r="G1884" s="3"/>
      <c r="H1884" s="3"/>
      <c r="I1884" s="3"/>
      <c r="J1884" s="3"/>
      <c r="K1884" s="3"/>
      <c r="L1884" s="3"/>
      <c r="M1884" s="3"/>
    </row>
    <row r="1885" spans="1:13" s="34" customFormat="1">
      <c r="A1885" s="73"/>
      <c r="B1885" s="3"/>
      <c r="C1885" s="3"/>
      <c r="D1885" s="3"/>
      <c r="E1885" s="3"/>
      <c r="F1885" s="3"/>
      <c r="G1885" s="3"/>
      <c r="H1885" s="3"/>
      <c r="I1885" s="3"/>
      <c r="J1885" s="3"/>
      <c r="K1885" s="3"/>
      <c r="L1885" s="3"/>
      <c r="M1885" s="3"/>
    </row>
    <row r="1886" spans="1:13" s="34" customFormat="1">
      <c r="A1886" s="73"/>
      <c r="B1886" s="3"/>
      <c r="C1886" s="3"/>
      <c r="D1886" s="3"/>
      <c r="E1886" s="3"/>
      <c r="F1886" s="3"/>
      <c r="G1886" s="3"/>
      <c r="H1886" s="3"/>
      <c r="I1886" s="3"/>
      <c r="J1886" s="3"/>
      <c r="K1886" s="3"/>
      <c r="L1886" s="3"/>
      <c r="M1886" s="3"/>
    </row>
    <row r="1887" spans="1:13" s="34" customFormat="1">
      <c r="A1887" s="73"/>
      <c r="B1887" s="3"/>
      <c r="C1887" s="3"/>
      <c r="D1887" s="3"/>
      <c r="E1887" s="3"/>
      <c r="F1887" s="3"/>
      <c r="G1887" s="3"/>
      <c r="H1887" s="3"/>
      <c r="I1887" s="3"/>
      <c r="J1887" s="3"/>
      <c r="K1887" s="3"/>
      <c r="L1887" s="3"/>
      <c r="M1887" s="3"/>
    </row>
    <row r="1888" spans="1:13" s="34" customFormat="1">
      <c r="A1888" s="73"/>
      <c r="B1888" s="3"/>
      <c r="C1888" s="3"/>
      <c r="D1888" s="3"/>
      <c r="E1888" s="3"/>
      <c r="F1888" s="3"/>
      <c r="G1888" s="3"/>
      <c r="H1888" s="3"/>
      <c r="I1888" s="3"/>
      <c r="J1888" s="3"/>
      <c r="K1888" s="3"/>
      <c r="L1888" s="3"/>
      <c r="M1888" s="3"/>
    </row>
    <row r="1889" spans="1:13" s="34" customFormat="1">
      <c r="A1889" s="73"/>
      <c r="B1889" s="3"/>
      <c r="C1889" s="3"/>
      <c r="D1889" s="3"/>
      <c r="E1889" s="3"/>
      <c r="F1889" s="3"/>
      <c r="G1889" s="3"/>
      <c r="H1889" s="3"/>
      <c r="I1889" s="3"/>
      <c r="J1889" s="3"/>
      <c r="K1889" s="3"/>
      <c r="L1889" s="3"/>
      <c r="M1889" s="3"/>
    </row>
    <row r="1890" spans="1:13" s="34" customFormat="1">
      <c r="A1890" s="73"/>
      <c r="B1890" s="3"/>
      <c r="C1890" s="3"/>
      <c r="D1890" s="3"/>
      <c r="E1890" s="3"/>
      <c r="F1890" s="3"/>
      <c r="G1890" s="3"/>
      <c r="H1890" s="3"/>
      <c r="I1890" s="3"/>
      <c r="J1890" s="3"/>
      <c r="K1890" s="3"/>
      <c r="L1890" s="3"/>
      <c r="M1890" s="3"/>
    </row>
    <row r="1891" spans="1:13" s="34" customFormat="1">
      <c r="A1891" s="73"/>
      <c r="B1891" s="3"/>
      <c r="C1891" s="3"/>
      <c r="D1891" s="3"/>
      <c r="E1891" s="3"/>
      <c r="F1891" s="3"/>
      <c r="G1891" s="3"/>
      <c r="H1891" s="3"/>
      <c r="I1891" s="3"/>
      <c r="J1891" s="3"/>
      <c r="K1891" s="3"/>
      <c r="L1891" s="3"/>
      <c r="M1891" s="3"/>
    </row>
    <row r="1892" spans="1:13" s="34" customFormat="1">
      <c r="A1892" s="73"/>
      <c r="B1892" s="3"/>
      <c r="C1892" s="3"/>
      <c r="D1892" s="3"/>
      <c r="E1892" s="3"/>
      <c r="F1892" s="3"/>
      <c r="G1892" s="3"/>
      <c r="H1892" s="3"/>
      <c r="I1892" s="3"/>
      <c r="J1892" s="3"/>
      <c r="K1892" s="3"/>
      <c r="L1892" s="3"/>
      <c r="M1892" s="3"/>
    </row>
    <row r="1893" spans="1:13" s="34" customFormat="1">
      <c r="A1893" s="73"/>
      <c r="B1893" s="3"/>
      <c r="C1893" s="3"/>
      <c r="D1893" s="3"/>
      <c r="E1893" s="3"/>
      <c r="F1893" s="3"/>
      <c r="G1893" s="3"/>
      <c r="H1893" s="3"/>
      <c r="I1893" s="3"/>
      <c r="J1893" s="3"/>
      <c r="K1893" s="3"/>
      <c r="L1893" s="3"/>
      <c r="M1893" s="3"/>
    </row>
    <row r="1894" spans="1:13" s="34" customFormat="1">
      <c r="A1894" s="73"/>
      <c r="B1894" s="3"/>
      <c r="C1894" s="3"/>
      <c r="D1894" s="3"/>
      <c r="E1894" s="3"/>
      <c r="F1894" s="3"/>
      <c r="G1894" s="3"/>
      <c r="H1894" s="3"/>
      <c r="I1894" s="3"/>
      <c r="J1894" s="3"/>
      <c r="K1894" s="3"/>
      <c r="L1894" s="3"/>
      <c r="M1894" s="3"/>
    </row>
    <row r="1895" spans="1:13" s="34" customFormat="1">
      <c r="A1895" s="73"/>
      <c r="B1895" s="3"/>
      <c r="C1895" s="3"/>
      <c r="D1895" s="3"/>
      <c r="E1895" s="3"/>
      <c r="F1895" s="3"/>
      <c r="G1895" s="3"/>
      <c r="H1895" s="3"/>
      <c r="I1895" s="3"/>
      <c r="J1895" s="3"/>
      <c r="K1895" s="3"/>
      <c r="L1895" s="3"/>
      <c r="M1895" s="3"/>
    </row>
    <row r="1896" spans="1:13" s="34" customFormat="1">
      <c r="A1896" s="73"/>
      <c r="B1896" s="3"/>
      <c r="C1896" s="3"/>
      <c r="D1896" s="3"/>
      <c r="E1896" s="3"/>
      <c r="F1896" s="3"/>
      <c r="G1896" s="3"/>
      <c r="H1896" s="3"/>
      <c r="I1896" s="3"/>
      <c r="J1896" s="3"/>
      <c r="K1896" s="3"/>
      <c r="L1896" s="3"/>
      <c r="M1896" s="3"/>
    </row>
    <row r="1897" spans="1:13" s="34" customFormat="1">
      <c r="A1897" s="73"/>
      <c r="B1897" s="3"/>
      <c r="C1897" s="3"/>
      <c r="D1897" s="3"/>
      <c r="E1897" s="3"/>
      <c r="F1897" s="3"/>
      <c r="G1897" s="3"/>
      <c r="H1897" s="3"/>
      <c r="I1897" s="3"/>
      <c r="J1897" s="3"/>
      <c r="K1897" s="3"/>
      <c r="L1897" s="3"/>
      <c r="M1897" s="3"/>
    </row>
    <row r="1898" spans="1:13" s="34" customFormat="1">
      <c r="A1898" s="73"/>
      <c r="B1898" s="3"/>
      <c r="C1898" s="3"/>
      <c r="D1898" s="3"/>
      <c r="E1898" s="3"/>
      <c r="F1898" s="3"/>
      <c r="G1898" s="3"/>
      <c r="H1898" s="3"/>
      <c r="I1898" s="3"/>
      <c r="J1898" s="3"/>
      <c r="K1898" s="3"/>
      <c r="L1898" s="3"/>
      <c r="M1898" s="3"/>
    </row>
    <row r="1899" spans="1:13" s="34" customFormat="1">
      <c r="A1899" s="73"/>
      <c r="B1899" s="3"/>
      <c r="C1899" s="3"/>
      <c r="D1899" s="3"/>
      <c r="E1899" s="3"/>
      <c r="F1899" s="3"/>
      <c r="G1899" s="3"/>
      <c r="H1899" s="3"/>
      <c r="I1899" s="3"/>
      <c r="J1899" s="3"/>
      <c r="K1899" s="3"/>
      <c r="L1899" s="3"/>
      <c r="M1899" s="3"/>
    </row>
    <row r="1900" spans="1:13" s="34" customFormat="1">
      <c r="A1900" s="73"/>
      <c r="B1900" s="3"/>
      <c r="C1900" s="3"/>
      <c r="D1900" s="3"/>
      <c r="E1900" s="3"/>
      <c r="F1900" s="3"/>
      <c r="G1900" s="3"/>
      <c r="H1900" s="3"/>
      <c r="I1900" s="3"/>
      <c r="J1900" s="3"/>
      <c r="K1900" s="3"/>
      <c r="L1900" s="3"/>
      <c r="M1900" s="3"/>
    </row>
    <row r="1901" spans="1:13" s="34" customFormat="1">
      <c r="A1901" s="73"/>
      <c r="B1901" s="3"/>
      <c r="C1901" s="3"/>
      <c r="D1901" s="3"/>
      <c r="E1901" s="3"/>
      <c r="F1901" s="3"/>
      <c r="G1901" s="3"/>
      <c r="H1901" s="3"/>
      <c r="I1901" s="3"/>
      <c r="J1901" s="3"/>
      <c r="K1901" s="3"/>
      <c r="L1901" s="3"/>
      <c r="M1901" s="3"/>
    </row>
    <row r="1902" spans="1:13" s="34" customFormat="1">
      <c r="A1902" s="73"/>
      <c r="B1902" s="3"/>
      <c r="C1902" s="3"/>
      <c r="D1902" s="3"/>
      <c r="E1902" s="3"/>
      <c r="F1902" s="3"/>
      <c r="G1902" s="3"/>
      <c r="H1902" s="3"/>
      <c r="I1902" s="3"/>
      <c r="J1902" s="3"/>
      <c r="K1902" s="3"/>
      <c r="L1902" s="3"/>
      <c r="M1902" s="3"/>
    </row>
    <row r="1903" spans="1:13" s="34" customFormat="1">
      <c r="A1903" s="73"/>
      <c r="B1903" s="3"/>
      <c r="C1903" s="3"/>
      <c r="D1903" s="3"/>
      <c r="E1903" s="3"/>
      <c r="F1903" s="3"/>
      <c r="G1903" s="3"/>
      <c r="H1903" s="3"/>
      <c r="I1903" s="3"/>
      <c r="J1903" s="3"/>
      <c r="K1903" s="3"/>
      <c r="L1903" s="3"/>
      <c r="M1903" s="3"/>
    </row>
  </sheetData>
  <sheetProtection password="DD3F" sheet="1" objects="1" scenarios="1"/>
  <mergeCells count="5">
    <mergeCell ref="K29:L29"/>
    <mergeCell ref="A1:I1"/>
    <mergeCell ref="A2:I2"/>
    <mergeCell ref="A3:I3"/>
    <mergeCell ref="I29:J29"/>
  </mergeCells>
  <printOptions horizontalCentered="1"/>
  <pageMargins left="0.75" right="0.75" top="1" bottom="1" header="0.5" footer="0.5"/>
  <pageSetup scale="73" firstPageNumber="3" orientation="landscape" horizontalDpi="4294967292" verticalDpi="4294967292" r:id="rId1"/>
  <headerFooter alignWithMargins="0">
    <oddFooter>&amp;LScot Chambers
&amp;D&amp;CPage _____&amp;R&amp;F
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K351"/>
  <sheetViews>
    <sheetView topLeftCell="A14" zoomScale="85" workbookViewId="0">
      <selection activeCell="B53" sqref="B53"/>
    </sheetView>
  </sheetViews>
  <sheetFormatPr defaultRowHeight="12.75"/>
  <cols>
    <col min="1" max="1" width="9.140625" style="73"/>
    <col min="2" max="2" width="39.28515625" style="73" customWidth="1"/>
    <col min="3" max="3" width="18.7109375" style="73" customWidth="1"/>
    <col min="4" max="4" width="12" style="73" customWidth="1"/>
    <col min="5" max="5" width="9.140625" style="73"/>
    <col min="6" max="16384" width="9.140625" style="74"/>
  </cols>
  <sheetData>
    <row r="1" spans="1:37" ht="15.75">
      <c r="A1" s="10" t="str">
        <f>Scope!A1</f>
        <v>City of Austin 4 x LM6000 Power Project</v>
      </c>
      <c r="B1" s="75"/>
      <c r="C1" s="75"/>
      <c r="D1" s="75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4"/>
    </row>
    <row r="2" spans="1:37" ht="15.75">
      <c r="A2" s="4" t="s">
        <v>641</v>
      </c>
      <c r="B2" s="75"/>
      <c r="C2" s="75"/>
      <c r="D2" s="75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4"/>
    </row>
    <row r="3" spans="1:37" ht="13.5" thickBot="1">
      <c r="A3" s="34"/>
      <c r="B3" s="34"/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/>
      <c r="AD3" s="34"/>
      <c r="AE3" s="34"/>
      <c r="AF3" s="34"/>
      <c r="AG3" s="34"/>
      <c r="AH3" s="34"/>
      <c r="AI3" s="34"/>
      <c r="AJ3" s="34"/>
      <c r="AK3" s="34"/>
    </row>
    <row r="4" spans="1:37" ht="13.5" thickBot="1">
      <c r="A4" s="76"/>
      <c r="B4" s="77"/>
      <c r="C4" s="78"/>
      <c r="D4" s="79" t="s">
        <v>759</v>
      </c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4"/>
    </row>
    <row r="5" spans="1:37">
      <c r="A5"/>
      <c r="B5" s="41"/>
      <c r="C5" s="80"/>
      <c r="D5" s="43"/>
      <c r="E5" s="3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</row>
    <row r="6" spans="1:37">
      <c r="A6" s="40" t="s">
        <v>783</v>
      </c>
      <c r="B6" s="41"/>
      <c r="C6" s="80"/>
      <c r="D6" s="81">
        <f>Mob_Backup!H16</f>
        <v>0</v>
      </c>
      <c r="E6" s="3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</row>
    <row r="7" spans="1:37">
      <c r="A7" s="40"/>
      <c r="B7" s="41"/>
      <c r="C7" s="80"/>
      <c r="D7" s="82"/>
      <c r="E7" s="3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</row>
    <row r="8" spans="1:37">
      <c r="A8" s="46" t="s">
        <v>784</v>
      </c>
      <c r="B8" s="41"/>
      <c r="C8" s="80"/>
      <c r="D8" s="81">
        <f>Mob_Backup!H22</f>
        <v>117282.88608738461</v>
      </c>
      <c r="E8" s="3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</row>
    <row r="9" spans="1:37">
      <c r="A9" s="40"/>
      <c r="B9" s="41"/>
      <c r="C9" s="80"/>
      <c r="D9" s="82"/>
      <c r="E9" s="3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</row>
    <row r="10" spans="1:37">
      <c r="A10" s="40" t="s">
        <v>763</v>
      </c>
      <c r="B10" s="41"/>
      <c r="C10" s="80"/>
      <c r="D10" s="82"/>
      <c r="E10" s="3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</row>
    <row r="11" spans="1:37">
      <c r="A11" s="3"/>
      <c r="B11" s="41" t="s">
        <v>785</v>
      </c>
      <c r="C11" s="83"/>
      <c r="D11" s="81">
        <f>Mob_Backup!H28</f>
        <v>3950</v>
      </c>
      <c r="E11" s="3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</row>
    <row r="12" spans="1:37">
      <c r="A12" s="3"/>
      <c r="B12" s="41" t="s">
        <v>786</v>
      </c>
      <c r="C12" s="83"/>
      <c r="D12" s="81">
        <f>Mob_Backup!H35</f>
        <v>5000</v>
      </c>
      <c r="E12" s="3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</row>
    <row r="13" spans="1:37">
      <c r="A13" s="3"/>
      <c r="B13" s="41" t="s">
        <v>787</v>
      </c>
      <c r="C13" s="83"/>
      <c r="D13" s="81">
        <f>Mob_Backup!H41</f>
        <v>10000</v>
      </c>
      <c r="E13" s="3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/>
      <c r="AD13" s="34"/>
      <c r="AE13" s="34"/>
      <c r="AF13" s="34"/>
      <c r="AG13" s="34"/>
      <c r="AH13" s="34"/>
      <c r="AI13" s="34"/>
      <c r="AJ13" s="34"/>
      <c r="AK13" s="34"/>
    </row>
    <row r="14" spans="1:37">
      <c r="A14" s="3"/>
      <c r="B14" s="41" t="s">
        <v>788</v>
      </c>
      <c r="C14" s="83"/>
      <c r="D14" s="81">
        <f>Mob_Backup!H59</f>
        <v>9400</v>
      </c>
      <c r="E14" s="3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/>
      <c r="AD14" s="34"/>
      <c r="AE14" s="34"/>
      <c r="AF14" s="34"/>
      <c r="AG14" s="34"/>
      <c r="AH14" s="34"/>
      <c r="AI14" s="34"/>
      <c r="AJ14" s="34"/>
      <c r="AK14" s="34"/>
    </row>
    <row r="15" spans="1:37">
      <c r="A15" s="3"/>
      <c r="B15" s="41" t="s">
        <v>789</v>
      </c>
      <c r="C15" s="83"/>
      <c r="D15" s="81">
        <f>Mob_Backup!H67</f>
        <v>8635.7142857142862</v>
      </c>
      <c r="E15" s="3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</row>
    <row r="16" spans="1:37">
      <c r="A16" s="3"/>
      <c r="B16" s="41" t="s">
        <v>790</v>
      </c>
      <c r="C16" s="83"/>
      <c r="D16" s="81">
        <f>Mob_Backup!H73</f>
        <v>6300</v>
      </c>
      <c r="E16" s="3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</row>
    <row r="17" spans="1:37">
      <c r="A17" s="3"/>
      <c r="B17" s="41" t="s">
        <v>791</v>
      </c>
      <c r="C17" s="83"/>
      <c r="D17" s="81">
        <f>Mob_Backup!H81</f>
        <v>0</v>
      </c>
      <c r="E17" s="3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</row>
    <row r="18" spans="1:37">
      <c r="A18" s="3"/>
      <c r="B18" s="41" t="s">
        <v>792</v>
      </c>
      <c r="C18" s="83"/>
      <c r="D18" s="81">
        <f>Mob_Backup!H98</f>
        <v>72202</v>
      </c>
      <c r="E18" s="3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</row>
    <row r="19" spans="1:37">
      <c r="A19" s="3"/>
      <c r="B19" s="41" t="s">
        <v>793</v>
      </c>
      <c r="C19" s="83"/>
      <c r="D19" s="81">
        <f>Mob_Backup!H117</f>
        <v>29150</v>
      </c>
      <c r="E19" s="3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</row>
    <row r="20" spans="1:37">
      <c r="A20" s="3"/>
      <c r="B20" s="41" t="s">
        <v>794</v>
      </c>
      <c r="C20" s="83"/>
      <c r="D20" s="81">
        <f>Mob_Backup!H120</f>
        <v>0</v>
      </c>
      <c r="E20" s="3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/>
      <c r="AD20" s="34"/>
      <c r="AE20" s="34"/>
      <c r="AF20" s="34"/>
      <c r="AG20" s="34"/>
      <c r="AH20" s="34"/>
      <c r="AI20" s="34"/>
      <c r="AJ20" s="34"/>
      <c r="AK20" s="34"/>
    </row>
    <row r="21" spans="1:37">
      <c r="A21" s="3"/>
      <c r="B21" s="21" t="s">
        <v>795</v>
      </c>
      <c r="C21" s="83"/>
      <c r="D21" s="81">
        <f>Mob_Backup!H124</f>
        <v>0</v>
      </c>
      <c r="E21" s="3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</row>
    <row r="22" spans="1:37">
      <c r="A22" s="3"/>
      <c r="B22" s="21" t="s">
        <v>796</v>
      </c>
      <c r="C22" s="83"/>
      <c r="D22" s="81">
        <f>Mob_Backup!H131</f>
        <v>15250</v>
      </c>
      <c r="E22" s="3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34"/>
      <c r="AI22" s="34"/>
      <c r="AJ22" s="34"/>
      <c r="AK22" s="34"/>
    </row>
    <row r="23" spans="1:37">
      <c r="A23" s="3"/>
      <c r="B23" s="41"/>
      <c r="C23" s="83"/>
      <c r="D23" s="82"/>
      <c r="E23" s="3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H23" s="34"/>
      <c r="AI23" s="34"/>
      <c r="AJ23" s="34"/>
      <c r="AK23" s="34"/>
    </row>
    <row r="24" spans="1:37">
      <c r="A24" s="3"/>
      <c r="B24" s="46" t="s">
        <v>797</v>
      </c>
      <c r="C24" s="84"/>
      <c r="D24" s="81">
        <f>SUBTOTAL(9,D11:D23)</f>
        <v>159887.71428571429</v>
      </c>
      <c r="E24" s="3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34"/>
      <c r="AI24" s="34"/>
      <c r="AJ24" s="34"/>
      <c r="AK24" s="34"/>
    </row>
    <row r="25" spans="1:37">
      <c r="A25" s="3"/>
      <c r="B25" s="41"/>
      <c r="C25" s="83"/>
      <c r="D25" s="82"/>
      <c r="E25" s="3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/>
      <c r="AI25" s="34"/>
      <c r="AJ25" s="34"/>
      <c r="AK25" s="34"/>
    </row>
    <row r="26" spans="1:37">
      <c r="A26" s="3"/>
      <c r="B26" s="41"/>
      <c r="C26" s="83"/>
      <c r="D26" s="82"/>
      <c r="E26" s="3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/>
      <c r="AD26" s="34"/>
      <c r="AE26" s="34"/>
      <c r="AF26" s="34"/>
      <c r="AG26" s="34"/>
      <c r="AH26" s="34"/>
      <c r="AI26" s="34"/>
      <c r="AJ26" s="34"/>
      <c r="AK26" s="34"/>
    </row>
    <row r="27" spans="1:37">
      <c r="A27" s="40" t="s">
        <v>764</v>
      </c>
      <c r="B27" s="41"/>
      <c r="C27" s="83"/>
      <c r="D27" s="82"/>
      <c r="E27" s="3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/>
      <c r="AD27" s="34"/>
      <c r="AE27" s="34"/>
      <c r="AF27" s="34"/>
      <c r="AG27" s="34"/>
      <c r="AH27" s="34"/>
      <c r="AI27" s="34"/>
      <c r="AJ27" s="34"/>
      <c r="AK27" s="34"/>
    </row>
    <row r="28" spans="1:37">
      <c r="A28" s="3"/>
      <c r="B28" s="41" t="s">
        <v>798</v>
      </c>
      <c r="C28" s="83"/>
      <c r="D28" s="81">
        <f>Mob_Backup!H167</f>
        <v>44782.5</v>
      </c>
      <c r="E28" s="3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/>
      <c r="AD28" s="34"/>
      <c r="AE28" s="34"/>
      <c r="AF28" s="34"/>
      <c r="AG28" s="34"/>
      <c r="AH28" s="34"/>
      <c r="AI28" s="34"/>
      <c r="AJ28" s="34"/>
      <c r="AK28" s="34"/>
    </row>
    <row r="29" spans="1:37">
      <c r="A29" s="3"/>
      <c r="B29" s="41" t="s">
        <v>799</v>
      </c>
      <c r="C29" s="83"/>
      <c r="D29" s="81">
        <f>Mob_Backup!H181</f>
        <v>21420</v>
      </c>
      <c r="E29" s="3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/>
      <c r="AD29" s="34"/>
      <c r="AE29" s="34"/>
      <c r="AF29" s="34"/>
      <c r="AG29" s="34"/>
      <c r="AH29" s="34"/>
      <c r="AI29" s="34"/>
      <c r="AJ29" s="34"/>
      <c r="AK29" s="34"/>
    </row>
    <row r="30" spans="1:37">
      <c r="A30" s="3"/>
      <c r="B30" s="41" t="s">
        <v>800</v>
      </c>
      <c r="C30" s="83"/>
      <c r="D30" s="81">
        <f>Mob_Backup!H201</f>
        <v>3550</v>
      </c>
      <c r="E30" s="3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/>
      <c r="AD30" s="34"/>
      <c r="AE30" s="34"/>
      <c r="AF30" s="34"/>
      <c r="AG30" s="34"/>
      <c r="AH30" s="34"/>
      <c r="AI30" s="34"/>
      <c r="AJ30" s="34"/>
      <c r="AK30" s="34"/>
    </row>
    <row r="31" spans="1:37">
      <c r="A31" s="3"/>
      <c r="B31" s="41" t="s">
        <v>801</v>
      </c>
      <c r="C31" s="83"/>
      <c r="D31" s="81">
        <f>Mob_Backup!H209</f>
        <v>4725</v>
      </c>
      <c r="E31" s="3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  <c r="AC31" s="34"/>
      <c r="AD31" s="34"/>
      <c r="AE31" s="34"/>
      <c r="AF31" s="34"/>
      <c r="AG31" s="34"/>
      <c r="AH31" s="34"/>
      <c r="AI31" s="34"/>
      <c r="AJ31" s="34"/>
      <c r="AK31" s="34"/>
    </row>
    <row r="32" spans="1:37">
      <c r="A32" s="3"/>
      <c r="B32" s="41" t="s">
        <v>802</v>
      </c>
      <c r="C32" s="83"/>
      <c r="D32" s="81">
        <f>Mob_Backup!H217</f>
        <v>4200</v>
      </c>
      <c r="E32" s="3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/>
      <c r="AD32" s="34"/>
      <c r="AE32" s="34"/>
      <c r="AF32" s="34"/>
      <c r="AG32" s="34"/>
      <c r="AH32" s="34"/>
      <c r="AI32" s="34"/>
      <c r="AJ32" s="34"/>
      <c r="AK32" s="34"/>
    </row>
    <row r="33" spans="1:37">
      <c r="A33" s="3"/>
      <c r="B33" s="41" t="s">
        <v>803</v>
      </c>
      <c r="C33" s="83"/>
      <c r="D33" s="81">
        <f>Mob_Backup!H267</f>
        <v>37217.25</v>
      </c>
      <c r="E33" s="3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34"/>
      <c r="AD33" s="34"/>
      <c r="AE33" s="34"/>
      <c r="AF33" s="34"/>
      <c r="AG33" s="34"/>
      <c r="AH33" s="34"/>
      <c r="AI33" s="34"/>
      <c r="AJ33" s="34"/>
      <c r="AK33" s="34"/>
    </row>
    <row r="34" spans="1:37">
      <c r="A34" s="3"/>
      <c r="B34" s="41" t="s">
        <v>804</v>
      </c>
      <c r="C34" s="83"/>
      <c r="D34" s="81">
        <f>Mob_Backup!H273</f>
        <v>10500</v>
      </c>
      <c r="E34" s="3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  <c r="AC34" s="34"/>
      <c r="AD34" s="34"/>
      <c r="AE34" s="34"/>
      <c r="AF34" s="34"/>
      <c r="AG34" s="34"/>
      <c r="AH34" s="34"/>
      <c r="AI34" s="34"/>
      <c r="AJ34" s="34"/>
      <c r="AK34" s="34"/>
    </row>
    <row r="35" spans="1:37">
      <c r="A35" s="3"/>
      <c r="B35" s="41"/>
      <c r="C35" s="83"/>
      <c r="D35" s="82"/>
      <c r="E35" s="3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4"/>
    </row>
    <row r="36" spans="1:37">
      <c r="A36" s="3"/>
      <c r="B36" s="46" t="s">
        <v>805</v>
      </c>
      <c r="C36" s="84"/>
      <c r="D36" s="81">
        <f>SUBTOTAL(9,D27:D35)</f>
        <v>126394.75</v>
      </c>
      <c r="E36" s="3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4"/>
      <c r="AD36" s="34"/>
      <c r="AE36" s="34"/>
      <c r="AF36" s="34"/>
      <c r="AG36" s="34"/>
      <c r="AH36" s="34"/>
      <c r="AI36" s="34"/>
      <c r="AJ36" s="34"/>
      <c r="AK36" s="34"/>
    </row>
    <row r="37" spans="1:37">
      <c r="A37" s="3"/>
      <c r="B37" s="41"/>
      <c r="C37" s="83"/>
      <c r="D37" s="82"/>
      <c r="E37" s="3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34"/>
      <c r="AI37" s="34"/>
      <c r="AJ37" s="34"/>
      <c r="AK37" s="34"/>
    </row>
    <row r="38" spans="1:37" ht="13.5" thickBot="1">
      <c r="A38" s="40" t="s">
        <v>765</v>
      </c>
      <c r="B38" s="41"/>
      <c r="C38" s="83"/>
      <c r="D38" s="85">
        <f>D36+D24+D8+D6</f>
        <v>403565.35037309892</v>
      </c>
      <c r="E38" s="3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  <c r="AB38" s="34"/>
      <c r="AC38" s="34"/>
      <c r="AD38" s="34"/>
      <c r="AE38" s="34"/>
      <c r="AF38" s="34"/>
      <c r="AG38" s="34"/>
      <c r="AH38" s="34"/>
      <c r="AI38" s="34"/>
      <c r="AJ38" s="34"/>
      <c r="AK38" s="34"/>
    </row>
    <row r="39" spans="1:37">
      <c r="A39" s="40"/>
      <c r="B39" s="41"/>
      <c r="C39" s="80"/>
      <c r="D39" s="37"/>
      <c r="E39" s="3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34"/>
      <c r="AC39" s="34"/>
      <c r="AD39" s="34"/>
      <c r="AE39" s="34"/>
      <c r="AF39" s="34"/>
      <c r="AG39" s="34"/>
      <c r="AH39" s="34"/>
      <c r="AI39" s="34"/>
      <c r="AJ39" s="34"/>
      <c r="AK39" s="34"/>
    </row>
    <row r="40" spans="1:37" ht="13.5" thickBot="1">
      <c r="A40" s="74"/>
      <c r="B40" s="74"/>
      <c r="C40" s="74"/>
      <c r="D40" s="74"/>
      <c r="E40" s="3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34"/>
      <c r="AC40" s="34"/>
      <c r="AD40" s="34"/>
      <c r="AE40" s="34"/>
      <c r="AF40" s="34"/>
      <c r="AG40" s="34"/>
      <c r="AH40" s="34"/>
      <c r="AI40" s="34"/>
      <c r="AJ40" s="34"/>
      <c r="AK40" s="34"/>
    </row>
    <row r="41" spans="1:37" hidden="1">
      <c r="A41" s="40" t="s">
        <v>766</v>
      </c>
      <c r="B41" s="3"/>
      <c r="C41" s="80"/>
      <c r="D41" s="86" t="s">
        <v>767</v>
      </c>
      <c r="E41" s="3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/>
      <c r="AD41" s="34"/>
      <c r="AE41" s="34"/>
      <c r="AF41" s="34"/>
      <c r="AG41" s="34"/>
      <c r="AH41" s="34"/>
      <c r="AI41" s="34"/>
      <c r="AJ41" s="34"/>
      <c r="AK41" s="34"/>
    </row>
    <row r="42" spans="1:37" ht="13.5" hidden="1" thickBot="1">
      <c r="A42" s="40"/>
      <c r="B42" s="3"/>
      <c r="C42" s="41"/>
      <c r="D42" s="81"/>
      <c r="E42" s="3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4"/>
    </row>
    <row r="43" spans="1:37">
      <c r="A43" s="40" t="s">
        <v>323</v>
      </c>
      <c r="B43" s="3"/>
      <c r="C43" s="41"/>
      <c r="D43" s="87" t="s">
        <v>767</v>
      </c>
      <c r="E43" s="3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</row>
    <row r="44" spans="1:37">
      <c r="A44" s="40"/>
      <c r="B44" s="40"/>
      <c r="C44" s="41"/>
      <c r="D44" s="81"/>
      <c r="E44" s="3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  <c r="AA44" s="34"/>
      <c r="AB44" s="34"/>
      <c r="AC44" s="34"/>
      <c r="AD44" s="34"/>
      <c r="AE44" s="34"/>
      <c r="AF44" s="34"/>
      <c r="AG44" s="34"/>
      <c r="AH44" s="34"/>
      <c r="AI44" s="34"/>
      <c r="AJ44" s="34"/>
      <c r="AK44" s="34"/>
    </row>
    <row r="45" spans="1:37" ht="13.5" thickBot="1">
      <c r="A45" s="40" t="s">
        <v>324</v>
      </c>
      <c r="B45" s="3"/>
      <c r="C45" s="3"/>
      <c r="D45" s="47" t="str">
        <f>Mob_Backup!H293</f>
        <v>NA</v>
      </c>
      <c r="E45" s="3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  <c r="AA45" s="34"/>
      <c r="AB45" s="34"/>
      <c r="AC45" s="34"/>
      <c r="AD45" s="34"/>
      <c r="AE45" s="34"/>
      <c r="AF45" s="34"/>
      <c r="AG45" s="34"/>
      <c r="AH45" s="34"/>
      <c r="AI45" s="34"/>
      <c r="AJ45" s="34"/>
      <c r="AK45" s="34"/>
    </row>
    <row r="46" spans="1:37" ht="13.5" thickBot="1">
      <c r="A46" s="68"/>
      <c r="B46" s="3"/>
      <c r="C46" s="3"/>
      <c r="D46" s="37"/>
      <c r="E46" s="3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4"/>
      <c r="AB46" s="34"/>
      <c r="AC46" s="34"/>
      <c r="AD46" s="34"/>
      <c r="AE46" s="34"/>
      <c r="AF46" s="34"/>
      <c r="AG46" s="34"/>
      <c r="AH46" s="34"/>
      <c r="AI46" s="34"/>
      <c r="AJ46" s="34"/>
      <c r="AK46" s="34"/>
    </row>
    <row r="47" spans="1:37" ht="13.5" thickBot="1">
      <c r="A47" s="46" t="s">
        <v>768</v>
      </c>
      <c r="B47" s="3"/>
      <c r="C47" s="83"/>
      <c r="D47" s="88">
        <f>Mob_Backup!H299</f>
        <v>1135750</v>
      </c>
      <c r="E47" s="3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  <c r="AA47" s="34"/>
      <c r="AB47" s="34"/>
      <c r="AC47" s="34"/>
      <c r="AD47" s="34"/>
      <c r="AE47" s="34"/>
      <c r="AF47" s="34"/>
      <c r="AG47" s="34"/>
      <c r="AH47" s="34"/>
      <c r="AI47" s="34"/>
      <c r="AJ47" s="34"/>
      <c r="AK47" s="34"/>
    </row>
    <row r="48" spans="1:37" ht="13.5" thickBot="1">
      <c r="A48" s="40"/>
      <c r="B48" s="3"/>
      <c r="C48" s="80"/>
      <c r="D48" s="37"/>
      <c r="E48" s="3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  <c r="AA48" s="34"/>
      <c r="AB48" s="34"/>
      <c r="AC48" s="34"/>
      <c r="AD48" s="34"/>
      <c r="AE48" s="34"/>
      <c r="AF48" s="34"/>
      <c r="AG48" s="34"/>
      <c r="AH48" s="34"/>
      <c r="AI48" s="34"/>
      <c r="AJ48" s="34"/>
      <c r="AK48" s="34"/>
    </row>
    <row r="49" spans="1:37" ht="13.5" hidden="1" thickBot="1">
      <c r="A49" s="3"/>
      <c r="B49" s="3"/>
      <c r="C49" s="3"/>
      <c r="D49" s="3"/>
      <c r="E49" s="3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4"/>
      <c r="AI49" s="34"/>
      <c r="AJ49" s="34"/>
      <c r="AK49" s="34"/>
    </row>
    <row r="50" spans="1:37" ht="13.5" thickBot="1">
      <c r="A50" s="40" t="s">
        <v>806</v>
      </c>
      <c r="B50" s="3"/>
      <c r="C50" s="3"/>
      <c r="D50" s="69">
        <f>Mob_Backup!H279</f>
        <v>160000</v>
      </c>
      <c r="E50" s="3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  <c r="AA50" s="34"/>
      <c r="AB50" s="34"/>
      <c r="AC50" s="34"/>
      <c r="AD50" s="34"/>
      <c r="AE50" s="34"/>
      <c r="AF50" s="34"/>
      <c r="AG50" s="34"/>
      <c r="AH50" s="34"/>
      <c r="AI50" s="34"/>
      <c r="AJ50" s="34"/>
      <c r="AK50" s="34"/>
    </row>
    <row r="51" spans="1:37" ht="13.5" hidden="1" thickBot="1">
      <c r="A51" s="46" t="s">
        <v>770</v>
      </c>
      <c r="B51" s="3"/>
      <c r="C51" s="3"/>
      <c r="D51" s="71">
        <f>ROUND(Mob_Backup!H285*Mob_Estimate!D8,-4)</f>
        <v>0</v>
      </c>
      <c r="E51" s="3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  <c r="AA51" s="34"/>
      <c r="AB51" s="34"/>
      <c r="AC51" s="34"/>
      <c r="AD51" s="34"/>
      <c r="AE51" s="34"/>
      <c r="AF51" s="34"/>
      <c r="AG51" s="34"/>
      <c r="AH51" s="34"/>
      <c r="AI51" s="34"/>
      <c r="AJ51" s="34"/>
      <c r="AK51" s="34"/>
    </row>
    <row r="52" spans="1:37">
      <c r="A52" s="3"/>
      <c r="B52" s="3"/>
      <c r="C52" s="3"/>
      <c r="D52" s="3"/>
      <c r="E52" s="3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  <c r="AA52" s="34"/>
      <c r="AB52" s="34"/>
      <c r="AC52" s="34"/>
      <c r="AD52" s="34"/>
      <c r="AE52" s="34"/>
      <c r="AF52" s="34"/>
      <c r="AG52" s="34"/>
      <c r="AH52" s="34"/>
      <c r="AI52" s="34"/>
      <c r="AJ52" s="34"/>
      <c r="AK52" s="34"/>
    </row>
    <row r="53" spans="1:37">
      <c r="A53" s="3"/>
      <c r="B53" s="3"/>
      <c r="C53" s="3"/>
      <c r="D53" s="3"/>
      <c r="E53" s="3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4"/>
      <c r="AE53" s="34"/>
      <c r="AF53" s="34"/>
      <c r="AG53" s="34"/>
      <c r="AH53" s="34"/>
      <c r="AI53" s="34"/>
      <c r="AJ53" s="34"/>
      <c r="AK53" s="34"/>
    </row>
    <row r="54" spans="1:37">
      <c r="A54" s="3"/>
      <c r="B54" s="3"/>
      <c r="C54" s="3"/>
      <c r="D54" s="3"/>
      <c r="E54" s="3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  <c r="AE54" s="34"/>
      <c r="AF54" s="34"/>
      <c r="AG54" s="34"/>
      <c r="AH54" s="34"/>
      <c r="AI54" s="34"/>
      <c r="AJ54" s="34"/>
      <c r="AK54" s="34"/>
    </row>
    <row r="55" spans="1:37">
      <c r="A55" s="3"/>
      <c r="B55" s="3"/>
      <c r="C55" s="3"/>
      <c r="D55" s="3"/>
      <c r="E55" s="3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  <c r="AF55" s="34"/>
      <c r="AG55" s="34"/>
      <c r="AH55" s="34"/>
      <c r="AI55" s="34"/>
      <c r="AJ55" s="34"/>
      <c r="AK55" s="34"/>
    </row>
    <row r="56" spans="1:37">
      <c r="A56" s="3"/>
      <c r="B56" s="3"/>
      <c r="C56" s="3"/>
      <c r="D56" s="3"/>
      <c r="E56" s="3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34"/>
      <c r="AD56" s="34"/>
      <c r="AE56" s="34"/>
      <c r="AF56" s="34"/>
      <c r="AG56" s="34"/>
      <c r="AH56" s="34"/>
      <c r="AI56" s="34"/>
      <c r="AJ56" s="34"/>
      <c r="AK56" s="34"/>
    </row>
    <row r="57" spans="1:37">
      <c r="A57" s="3"/>
      <c r="B57" s="3"/>
      <c r="C57" s="3"/>
      <c r="D57" s="3"/>
      <c r="E57" s="3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34"/>
      <c r="AD57" s="34"/>
      <c r="AE57" s="34"/>
      <c r="AF57" s="34"/>
      <c r="AG57" s="34"/>
      <c r="AH57" s="34"/>
      <c r="AI57" s="34"/>
      <c r="AJ57" s="34"/>
      <c r="AK57" s="34"/>
    </row>
    <row r="58" spans="1:37">
      <c r="A58" s="3"/>
      <c r="B58" s="3"/>
      <c r="C58" s="3"/>
      <c r="D58" s="3"/>
      <c r="E58" s="3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  <c r="AE58" s="34"/>
      <c r="AF58" s="34"/>
      <c r="AG58" s="34"/>
      <c r="AH58" s="34"/>
      <c r="AI58" s="34"/>
      <c r="AJ58" s="34"/>
      <c r="AK58" s="34"/>
    </row>
    <row r="59" spans="1:37">
      <c r="A59" s="3"/>
      <c r="B59" s="3"/>
      <c r="C59" s="3"/>
      <c r="D59" s="3"/>
      <c r="E59" s="3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4"/>
      <c r="AD59" s="34"/>
      <c r="AE59" s="34"/>
      <c r="AF59" s="34"/>
      <c r="AG59" s="34"/>
      <c r="AH59" s="34"/>
      <c r="AI59" s="34"/>
      <c r="AJ59" s="34"/>
      <c r="AK59" s="34"/>
    </row>
    <row r="60" spans="1:37">
      <c r="A60" s="3"/>
      <c r="B60" s="3"/>
      <c r="C60" s="3"/>
      <c r="D60" s="3"/>
      <c r="E60" s="3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  <c r="AD60" s="34"/>
      <c r="AE60" s="34"/>
      <c r="AF60" s="34"/>
      <c r="AG60" s="34"/>
      <c r="AH60" s="34"/>
      <c r="AI60" s="34"/>
      <c r="AJ60" s="34"/>
      <c r="AK60" s="34"/>
    </row>
    <row r="61" spans="1:37">
      <c r="A61" s="3"/>
      <c r="B61" s="3"/>
      <c r="C61" s="3"/>
      <c r="D61" s="3"/>
      <c r="E61" s="3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  <c r="AE61" s="34"/>
      <c r="AF61" s="34"/>
      <c r="AG61" s="34"/>
      <c r="AH61" s="34"/>
      <c r="AI61" s="34"/>
      <c r="AJ61" s="34"/>
      <c r="AK61" s="34"/>
    </row>
    <row r="62" spans="1:37">
      <c r="A62" s="3"/>
      <c r="B62" s="3"/>
      <c r="C62" s="3"/>
      <c r="D62" s="3"/>
      <c r="E62" s="3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34"/>
      <c r="AD62" s="34"/>
      <c r="AE62" s="34"/>
      <c r="AF62" s="34"/>
      <c r="AG62" s="34"/>
      <c r="AH62" s="34"/>
      <c r="AI62" s="34"/>
      <c r="AJ62" s="34"/>
      <c r="AK62" s="34"/>
    </row>
    <row r="63" spans="1:37">
      <c r="A63" s="3"/>
      <c r="B63" s="3"/>
      <c r="C63" s="3"/>
      <c r="D63" s="3"/>
      <c r="E63" s="3"/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4"/>
      <c r="AD63" s="34"/>
      <c r="AE63" s="34"/>
      <c r="AF63" s="34"/>
      <c r="AG63" s="34"/>
      <c r="AH63" s="34"/>
      <c r="AI63" s="34"/>
      <c r="AJ63" s="34"/>
      <c r="AK63" s="34"/>
    </row>
    <row r="64" spans="1:37">
      <c r="A64" s="3"/>
      <c r="B64" s="3"/>
      <c r="C64" s="3"/>
      <c r="D64" s="3"/>
      <c r="E64" s="3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4"/>
      <c r="AD64" s="34"/>
      <c r="AE64" s="34"/>
      <c r="AF64" s="34"/>
      <c r="AG64" s="34"/>
      <c r="AH64" s="34"/>
      <c r="AI64" s="34"/>
      <c r="AJ64" s="34"/>
      <c r="AK64" s="34"/>
    </row>
    <row r="65" spans="1:37">
      <c r="A65" s="3"/>
      <c r="B65" s="3"/>
      <c r="C65" s="3"/>
      <c r="D65" s="3"/>
      <c r="E65" s="3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34"/>
      <c r="AD65" s="34"/>
      <c r="AE65" s="34"/>
      <c r="AF65" s="34"/>
      <c r="AG65" s="34"/>
      <c r="AH65" s="34"/>
      <c r="AI65" s="34"/>
      <c r="AJ65" s="34"/>
      <c r="AK65" s="34"/>
    </row>
    <row r="66" spans="1:37">
      <c r="A66" s="3"/>
      <c r="B66" s="3"/>
      <c r="C66" s="3"/>
      <c r="D66" s="3"/>
      <c r="E66" s="3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  <c r="AE66" s="34"/>
      <c r="AF66" s="34"/>
      <c r="AG66" s="34"/>
      <c r="AH66" s="34"/>
      <c r="AI66" s="34"/>
      <c r="AJ66" s="34"/>
      <c r="AK66" s="34"/>
    </row>
    <row r="67" spans="1:37">
      <c r="A67" s="3"/>
      <c r="B67" s="3"/>
      <c r="C67" s="3"/>
      <c r="D67" s="3"/>
      <c r="E67" s="3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  <c r="AE67" s="34"/>
      <c r="AF67" s="34"/>
      <c r="AG67" s="34"/>
      <c r="AH67" s="34"/>
      <c r="AI67" s="34"/>
      <c r="AJ67" s="34"/>
      <c r="AK67" s="34"/>
    </row>
    <row r="68" spans="1:37">
      <c r="A68" s="3"/>
      <c r="B68" s="3"/>
      <c r="C68" s="3"/>
      <c r="D68" s="3"/>
      <c r="E68" s="3"/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4"/>
      <c r="AC68" s="34"/>
      <c r="AD68" s="34"/>
      <c r="AE68" s="34"/>
      <c r="AF68" s="34"/>
      <c r="AG68" s="34"/>
      <c r="AH68" s="34"/>
      <c r="AI68" s="34"/>
      <c r="AJ68" s="34"/>
      <c r="AK68" s="34"/>
    </row>
    <row r="69" spans="1:37">
      <c r="A69" s="3"/>
      <c r="B69" s="3"/>
      <c r="C69" s="3"/>
      <c r="D69" s="3"/>
      <c r="E69" s="3"/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34"/>
      <c r="AC69" s="34"/>
      <c r="AD69" s="34"/>
      <c r="AE69" s="34"/>
      <c r="AF69" s="34"/>
      <c r="AG69" s="34"/>
      <c r="AH69" s="34"/>
      <c r="AI69" s="34"/>
      <c r="AJ69" s="34"/>
      <c r="AK69" s="34"/>
    </row>
    <row r="70" spans="1:37">
      <c r="A70" s="3"/>
      <c r="B70" s="3"/>
      <c r="C70" s="3"/>
      <c r="D70" s="3"/>
      <c r="E70" s="3"/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4"/>
      <c r="AC70" s="34"/>
      <c r="AD70" s="34"/>
      <c r="AE70" s="34"/>
      <c r="AF70" s="34"/>
      <c r="AG70" s="34"/>
      <c r="AH70" s="34"/>
      <c r="AI70" s="34"/>
      <c r="AJ70" s="34"/>
      <c r="AK70" s="34"/>
    </row>
    <row r="71" spans="1:37">
      <c r="A71" s="3"/>
      <c r="B71" s="3"/>
      <c r="C71" s="3"/>
      <c r="D71" s="3"/>
      <c r="E71" s="3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4"/>
      <c r="AD71" s="34"/>
      <c r="AE71" s="34"/>
      <c r="AF71" s="34"/>
      <c r="AG71" s="34"/>
      <c r="AH71" s="34"/>
      <c r="AI71" s="34"/>
      <c r="AJ71" s="34"/>
      <c r="AK71" s="34"/>
    </row>
    <row r="72" spans="1:37">
      <c r="A72" s="3"/>
      <c r="B72" s="3"/>
      <c r="C72" s="3"/>
      <c r="D72" s="3"/>
      <c r="E72" s="3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  <c r="AE72" s="34"/>
      <c r="AF72" s="34"/>
      <c r="AG72" s="34"/>
      <c r="AH72" s="34"/>
      <c r="AI72" s="34"/>
      <c r="AJ72" s="34"/>
      <c r="AK72" s="34"/>
    </row>
    <row r="73" spans="1:37">
      <c r="A73" s="3"/>
      <c r="B73" s="3"/>
      <c r="C73" s="3"/>
      <c r="D73" s="3"/>
      <c r="E73" s="3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  <c r="AE73" s="34"/>
      <c r="AF73" s="34"/>
      <c r="AG73" s="34"/>
      <c r="AH73" s="34"/>
      <c r="AI73" s="34"/>
      <c r="AJ73" s="34"/>
      <c r="AK73" s="34"/>
    </row>
    <row r="74" spans="1:37">
      <c r="A74" s="3"/>
      <c r="B74" s="3"/>
      <c r="C74" s="3"/>
      <c r="D74" s="3"/>
      <c r="E74" s="3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D74" s="34"/>
      <c r="AE74" s="34"/>
      <c r="AF74" s="34"/>
      <c r="AG74" s="34"/>
      <c r="AH74" s="34"/>
      <c r="AI74" s="34"/>
      <c r="AJ74" s="34"/>
      <c r="AK74" s="34"/>
    </row>
    <row r="75" spans="1:37">
      <c r="A75" s="3"/>
      <c r="B75" s="3"/>
      <c r="C75" s="3"/>
      <c r="D75" s="3"/>
      <c r="E75" s="3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4"/>
      <c r="AC75" s="34"/>
      <c r="AD75" s="34"/>
      <c r="AE75" s="34"/>
      <c r="AF75" s="34"/>
      <c r="AG75" s="34"/>
      <c r="AH75" s="34"/>
      <c r="AI75" s="34"/>
      <c r="AJ75" s="34"/>
      <c r="AK75" s="34"/>
    </row>
    <row r="76" spans="1:37">
      <c r="A76" s="3"/>
      <c r="B76" s="3"/>
      <c r="C76" s="3"/>
      <c r="D76" s="3"/>
      <c r="E76" s="3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34"/>
      <c r="AD76" s="34"/>
      <c r="AE76" s="34"/>
      <c r="AF76" s="34"/>
      <c r="AG76" s="34"/>
      <c r="AH76" s="34"/>
      <c r="AI76" s="34"/>
      <c r="AJ76" s="34"/>
      <c r="AK76" s="34"/>
    </row>
    <row r="77" spans="1:37">
      <c r="A77" s="3"/>
      <c r="B77" s="3"/>
      <c r="C77" s="3"/>
      <c r="D77" s="3"/>
      <c r="E77" s="3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34"/>
      <c r="AD77" s="34"/>
      <c r="AE77" s="34"/>
      <c r="AF77" s="34"/>
      <c r="AG77" s="34"/>
      <c r="AH77" s="34"/>
      <c r="AI77" s="34"/>
      <c r="AJ77" s="34"/>
      <c r="AK77" s="34"/>
    </row>
    <row r="78" spans="1:37">
      <c r="A78" s="3"/>
      <c r="B78" s="3"/>
      <c r="C78" s="3"/>
      <c r="D78" s="3"/>
      <c r="E78" s="3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34"/>
      <c r="AC78" s="34"/>
      <c r="AD78" s="34"/>
      <c r="AE78" s="34"/>
      <c r="AF78" s="34"/>
      <c r="AG78" s="34"/>
      <c r="AH78" s="34"/>
      <c r="AI78" s="34"/>
      <c r="AJ78" s="34"/>
      <c r="AK78" s="34"/>
    </row>
    <row r="79" spans="1:37">
      <c r="A79" s="3"/>
      <c r="B79" s="3"/>
      <c r="C79" s="3"/>
      <c r="D79" s="3"/>
      <c r="E79" s="3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34"/>
      <c r="AD79" s="34"/>
      <c r="AE79" s="34"/>
      <c r="AF79" s="34"/>
      <c r="AG79" s="34"/>
      <c r="AH79" s="34"/>
      <c r="AI79" s="34"/>
      <c r="AJ79" s="34"/>
      <c r="AK79" s="34"/>
    </row>
    <row r="80" spans="1:37">
      <c r="A80" s="3"/>
      <c r="B80" s="3"/>
      <c r="C80" s="3"/>
      <c r="D80" s="3"/>
      <c r="E80" s="3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  <c r="AB80" s="34"/>
      <c r="AC80" s="34"/>
      <c r="AD80" s="34"/>
      <c r="AE80" s="34"/>
      <c r="AF80" s="34"/>
      <c r="AG80" s="34"/>
      <c r="AH80" s="34"/>
      <c r="AI80" s="34"/>
      <c r="AJ80" s="34"/>
      <c r="AK80" s="34"/>
    </row>
    <row r="81" spans="1:37">
      <c r="A81" s="3"/>
      <c r="B81" s="3"/>
      <c r="C81" s="3"/>
      <c r="D81" s="3"/>
      <c r="E81" s="3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  <c r="AB81" s="34"/>
      <c r="AC81" s="34"/>
      <c r="AD81" s="34"/>
      <c r="AE81" s="34"/>
      <c r="AF81" s="34"/>
      <c r="AG81" s="34"/>
      <c r="AH81" s="34"/>
      <c r="AI81" s="34"/>
      <c r="AJ81" s="34"/>
      <c r="AK81" s="34"/>
    </row>
    <row r="82" spans="1:37">
      <c r="A82" s="3"/>
      <c r="B82" s="3"/>
      <c r="C82" s="3"/>
      <c r="D82" s="3"/>
      <c r="E82" s="3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  <c r="AB82" s="34"/>
      <c r="AC82" s="34"/>
      <c r="AD82" s="34"/>
      <c r="AE82" s="34"/>
      <c r="AF82" s="34"/>
      <c r="AG82" s="34"/>
      <c r="AH82" s="34"/>
      <c r="AI82" s="34"/>
      <c r="AJ82" s="34"/>
      <c r="AK82" s="34"/>
    </row>
    <row r="83" spans="1:37">
      <c r="A83" s="3"/>
      <c r="B83" s="3"/>
      <c r="C83" s="3"/>
      <c r="D83" s="3"/>
      <c r="E83" s="3"/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  <c r="AB83" s="34"/>
      <c r="AC83" s="34"/>
      <c r="AD83" s="34"/>
      <c r="AE83" s="34"/>
      <c r="AF83" s="34"/>
      <c r="AG83" s="34"/>
      <c r="AH83" s="34"/>
      <c r="AI83" s="34"/>
      <c r="AJ83" s="34"/>
      <c r="AK83" s="34"/>
    </row>
    <row r="84" spans="1:37">
      <c r="A84" s="3"/>
      <c r="B84" s="3"/>
      <c r="C84" s="3"/>
      <c r="D84" s="3"/>
      <c r="E84" s="3"/>
      <c r="F84" s="34"/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  <c r="AB84" s="34"/>
      <c r="AC84" s="34"/>
      <c r="AD84" s="34"/>
      <c r="AE84" s="34"/>
      <c r="AF84" s="34"/>
      <c r="AG84" s="34"/>
      <c r="AH84" s="34"/>
      <c r="AI84" s="34"/>
      <c r="AJ84" s="34"/>
      <c r="AK84" s="34"/>
    </row>
    <row r="85" spans="1:37">
      <c r="A85" s="3"/>
      <c r="B85" s="3"/>
      <c r="C85" s="3"/>
      <c r="D85" s="3"/>
      <c r="E85" s="3"/>
      <c r="F85" s="34"/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  <c r="AB85" s="34"/>
      <c r="AC85" s="34"/>
      <c r="AD85" s="34"/>
      <c r="AE85" s="34"/>
      <c r="AF85" s="34"/>
      <c r="AG85" s="34"/>
      <c r="AH85" s="34"/>
      <c r="AI85" s="34"/>
      <c r="AJ85" s="34"/>
      <c r="AK85" s="34"/>
    </row>
    <row r="86" spans="1:37">
      <c r="A86" s="3"/>
      <c r="B86" s="3"/>
      <c r="C86" s="3"/>
      <c r="D86" s="3"/>
      <c r="E86" s="3"/>
      <c r="F86" s="34"/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  <c r="AA86" s="34"/>
      <c r="AB86" s="34"/>
      <c r="AC86" s="34"/>
      <c r="AD86" s="34"/>
      <c r="AE86" s="34"/>
      <c r="AF86" s="34"/>
      <c r="AG86" s="34"/>
      <c r="AH86" s="34"/>
      <c r="AI86" s="34"/>
      <c r="AJ86" s="34"/>
      <c r="AK86" s="34"/>
    </row>
    <row r="87" spans="1:37">
      <c r="A87" s="3"/>
      <c r="B87" s="3"/>
      <c r="C87" s="3"/>
      <c r="D87" s="3"/>
      <c r="E87" s="3"/>
      <c r="F87" s="34"/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  <c r="AA87" s="34"/>
      <c r="AB87" s="34"/>
      <c r="AC87" s="34"/>
      <c r="AD87" s="34"/>
      <c r="AE87" s="34"/>
      <c r="AF87" s="34"/>
      <c r="AG87" s="34"/>
      <c r="AH87" s="34"/>
      <c r="AI87" s="34"/>
      <c r="AJ87" s="34"/>
      <c r="AK87" s="34"/>
    </row>
    <row r="88" spans="1:37">
      <c r="A88" s="3"/>
      <c r="B88" s="3"/>
      <c r="C88" s="3"/>
      <c r="D88" s="3"/>
      <c r="E88" s="3"/>
      <c r="F88" s="34"/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  <c r="AA88" s="34"/>
      <c r="AB88" s="34"/>
      <c r="AC88" s="34"/>
      <c r="AD88" s="34"/>
      <c r="AE88" s="34"/>
      <c r="AF88" s="34"/>
      <c r="AG88" s="34"/>
      <c r="AH88" s="34"/>
      <c r="AI88" s="34"/>
      <c r="AJ88" s="34"/>
      <c r="AK88" s="34"/>
    </row>
    <row r="89" spans="1:37">
      <c r="A89" s="3"/>
      <c r="B89" s="3"/>
      <c r="C89" s="3"/>
      <c r="D89" s="3"/>
      <c r="E89" s="3"/>
      <c r="F89" s="34"/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  <c r="AA89" s="34"/>
      <c r="AB89" s="34"/>
      <c r="AC89" s="34"/>
      <c r="AD89" s="34"/>
      <c r="AE89" s="34"/>
      <c r="AF89" s="34"/>
      <c r="AG89" s="34"/>
      <c r="AH89" s="34"/>
      <c r="AI89" s="34"/>
      <c r="AJ89" s="34"/>
      <c r="AK89" s="34"/>
    </row>
    <row r="90" spans="1:37">
      <c r="A90" s="3"/>
      <c r="B90" s="3"/>
      <c r="C90" s="3"/>
      <c r="D90" s="3"/>
      <c r="E90" s="3"/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  <c r="AB90" s="34"/>
      <c r="AC90" s="34"/>
      <c r="AD90" s="34"/>
      <c r="AE90" s="34"/>
      <c r="AF90" s="34"/>
      <c r="AG90" s="34"/>
      <c r="AH90" s="34"/>
      <c r="AI90" s="34"/>
      <c r="AJ90" s="34"/>
      <c r="AK90" s="34"/>
    </row>
    <row r="91" spans="1:37">
      <c r="A91" s="3"/>
      <c r="B91" s="3"/>
      <c r="C91" s="3"/>
      <c r="D91" s="3"/>
      <c r="E91" s="3"/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  <c r="AB91" s="34"/>
      <c r="AC91" s="34"/>
      <c r="AD91" s="34"/>
      <c r="AE91" s="34"/>
      <c r="AF91" s="34"/>
      <c r="AG91" s="34"/>
      <c r="AH91" s="34"/>
      <c r="AI91" s="34"/>
      <c r="AJ91" s="34"/>
      <c r="AK91" s="34"/>
    </row>
    <row r="92" spans="1:37">
      <c r="A92" s="3"/>
      <c r="B92" s="3"/>
      <c r="C92" s="3"/>
      <c r="D92" s="3"/>
      <c r="E92" s="3"/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  <c r="AB92" s="34"/>
      <c r="AC92" s="34"/>
      <c r="AD92" s="34"/>
      <c r="AE92" s="34"/>
      <c r="AF92" s="34"/>
      <c r="AG92" s="34"/>
      <c r="AH92" s="34"/>
      <c r="AI92" s="34"/>
      <c r="AJ92" s="34"/>
      <c r="AK92" s="34"/>
    </row>
    <row r="93" spans="1:37">
      <c r="A93" s="3"/>
      <c r="B93" s="3"/>
      <c r="C93" s="3"/>
      <c r="D93" s="3"/>
      <c r="E93" s="3"/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  <c r="AA93" s="34"/>
      <c r="AB93" s="34"/>
      <c r="AC93" s="34"/>
      <c r="AD93" s="34"/>
      <c r="AE93" s="34"/>
      <c r="AF93" s="34"/>
      <c r="AG93" s="34"/>
      <c r="AH93" s="34"/>
      <c r="AI93" s="34"/>
      <c r="AJ93" s="34"/>
      <c r="AK93" s="34"/>
    </row>
    <row r="94" spans="1:37">
      <c r="A94" s="3"/>
      <c r="B94" s="3"/>
      <c r="C94" s="3"/>
      <c r="D94" s="3"/>
      <c r="E94" s="3"/>
      <c r="F94" s="34"/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  <c r="AA94" s="34"/>
      <c r="AB94" s="34"/>
      <c r="AC94" s="34"/>
      <c r="AD94" s="34"/>
      <c r="AE94" s="34"/>
      <c r="AF94" s="34"/>
      <c r="AG94" s="34"/>
      <c r="AH94" s="34"/>
      <c r="AI94" s="34"/>
      <c r="AJ94" s="34"/>
      <c r="AK94" s="34"/>
    </row>
    <row r="95" spans="1:37">
      <c r="A95" s="3"/>
      <c r="B95" s="3"/>
      <c r="C95" s="3"/>
      <c r="D95" s="3"/>
      <c r="E95" s="3"/>
      <c r="F95" s="34"/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  <c r="AA95" s="34"/>
      <c r="AB95" s="34"/>
      <c r="AC95" s="34"/>
      <c r="AD95" s="34"/>
      <c r="AE95" s="34"/>
      <c r="AF95" s="34"/>
      <c r="AG95" s="34"/>
      <c r="AH95" s="34"/>
      <c r="AI95" s="34"/>
      <c r="AJ95" s="34"/>
      <c r="AK95" s="34"/>
    </row>
    <row r="96" spans="1:37">
      <c r="A96" s="3"/>
      <c r="B96" s="3"/>
      <c r="C96" s="3"/>
      <c r="D96" s="3"/>
      <c r="E96" s="3"/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  <c r="AA96" s="34"/>
      <c r="AB96" s="34"/>
      <c r="AC96" s="34"/>
      <c r="AD96" s="34"/>
      <c r="AE96" s="34"/>
      <c r="AF96" s="34"/>
      <c r="AG96" s="34"/>
      <c r="AH96" s="34"/>
      <c r="AI96" s="34"/>
      <c r="AJ96" s="34"/>
      <c r="AK96" s="34"/>
    </row>
    <row r="97" spans="1:37">
      <c r="A97" s="3"/>
      <c r="B97" s="3"/>
      <c r="C97" s="3"/>
      <c r="D97" s="3"/>
      <c r="E97" s="3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4"/>
      <c r="AF97" s="34"/>
      <c r="AG97" s="34"/>
      <c r="AH97" s="34"/>
      <c r="AI97" s="34"/>
      <c r="AJ97" s="34"/>
      <c r="AK97" s="34"/>
    </row>
    <row r="98" spans="1:37">
      <c r="A98" s="3"/>
      <c r="B98" s="3"/>
      <c r="C98" s="3"/>
      <c r="D98" s="3"/>
      <c r="E98" s="3"/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  <c r="AB98" s="34"/>
      <c r="AC98" s="34"/>
      <c r="AD98" s="34"/>
      <c r="AE98" s="34"/>
      <c r="AF98" s="34"/>
      <c r="AG98" s="34"/>
      <c r="AH98" s="34"/>
      <c r="AI98" s="34"/>
      <c r="AJ98" s="34"/>
      <c r="AK98" s="34"/>
    </row>
    <row r="99" spans="1:37">
      <c r="A99" s="3"/>
      <c r="B99" s="3"/>
      <c r="C99" s="3"/>
      <c r="D99" s="3"/>
      <c r="E99" s="3"/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  <c r="AA99" s="34"/>
      <c r="AB99" s="34"/>
      <c r="AC99" s="34"/>
      <c r="AD99" s="34"/>
      <c r="AE99" s="34"/>
      <c r="AF99" s="34"/>
      <c r="AG99" s="34"/>
      <c r="AH99" s="34"/>
      <c r="AI99" s="34"/>
      <c r="AJ99" s="34"/>
      <c r="AK99" s="34"/>
    </row>
    <row r="100" spans="1:37">
      <c r="A100" s="3"/>
      <c r="B100" s="3"/>
      <c r="C100" s="3"/>
      <c r="D100" s="3"/>
      <c r="E100" s="3"/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  <c r="AB100" s="34"/>
      <c r="AC100" s="34"/>
      <c r="AD100" s="34"/>
      <c r="AE100" s="34"/>
      <c r="AF100" s="34"/>
      <c r="AG100" s="34"/>
      <c r="AH100" s="34"/>
      <c r="AI100" s="34"/>
      <c r="AJ100" s="34"/>
      <c r="AK100" s="34"/>
    </row>
    <row r="101" spans="1:37">
      <c r="A101" s="3"/>
      <c r="B101" s="3"/>
      <c r="C101" s="3"/>
      <c r="D101" s="3"/>
      <c r="E101" s="3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  <c r="Z101" s="34"/>
      <c r="AA101" s="34"/>
      <c r="AB101" s="34"/>
      <c r="AC101" s="34"/>
      <c r="AD101" s="34"/>
      <c r="AE101" s="34"/>
      <c r="AF101" s="34"/>
      <c r="AG101" s="34"/>
      <c r="AH101" s="34"/>
      <c r="AI101" s="34"/>
      <c r="AJ101" s="34"/>
      <c r="AK101" s="34"/>
    </row>
    <row r="102" spans="1:37">
      <c r="A102" s="3"/>
      <c r="B102" s="3"/>
      <c r="C102" s="3"/>
      <c r="D102" s="3"/>
      <c r="E102" s="3"/>
      <c r="F102" s="34"/>
      <c r="G102" s="34"/>
      <c r="H102" s="34"/>
      <c r="I102" s="34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  <c r="X102" s="34"/>
      <c r="Y102" s="34"/>
      <c r="Z102" s="34"/>
      <c r="AA102" s="34"/>
      <c r="AB102" s="34"/>
      <c r="AC102" s="34"/>
      <c r="AD102" s="34"/>
      <c r="AE102" s="34"/>
      <c r="AF102" s="34"/>
      <c r="AG102" s="34"/>
      <c r="AH102" s="34"/>
      <c r="AI102" s="34"/>
      <c r="AJ102" s="34"/>
      <c r="AK102" s="34"/>
    </row>
    <row r="103" spans="1:37">
      <c r="A103" s="3"/>
      <c r="B103" s="3"/>
      <c r="C103" s="3"/>
      <c r="D103" s="3"/>
      <c r="E103" s="3"/>
      <c r="F103" s="34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  <c r="X103" s="34"/>
      <c r="Y103" s="34"/>
      <c r="Z103" s="34"/>
      <c r="AA103" s="34"/>
      <c r="AB103" s="34"/>
      <c r="AC103" s="34"/>
      <c r="AD103" s="34"/>
      <c r="AE103" s="34"/>
      <c r="AF103" s="34"/>
      <c r="AG103" s="34"/>
      <c r="AH103" s="34"/>
      <c r="AI103" s="34"/>
      <c r="AJ103" s="34"/>
      <c r="AK103" s="34"/>
    </row>
    <row r="104" spans="1:37">
      <c r="A104" s="3"/>
      <c r="B104" s="3"/>
      <c r="C104" s="3"/>
      <c r="D104" s="3"/>
      <c r="E104" s="3"/>
      <c r="F104" s="34"/>
      <c r="G104" s="34"/>
      <c r="H104" s="34"/>
      <c r="I104" s="34"/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  <c r="AA104" s="34"/>
      <c r="AB104" s="34"/>
      <c r="AC104" s="34"/>
      <c r="AD104" s="34"/>
      <c r="AE104" s="34"/>
      <c r="AF104" s="34"/>
      <c r="AG104" s="34"/>
      <c r="AH104" s="34"/>
      <c r="AI104" s="34"/>
      <c r="AJ104" s="34"/>
      <c r="AK104" s="34"/>
    </row>
    <row r="105" spans="1:37">
      <c r="A105" s="3"/>
      <c r="B105" s="3"/>
      <c r="C105" s="3"/>
      <c r="D105" s="3"/>
      <c r="E105" s="3"/>
      <c r="F105" s="34"/>
      <c r="G105" s="34"/>
      <c r="H105" s="34"/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  <c r="X105" s="34"/>
      <c r="Y105" s="34"/>
      <c r="Z105" s="34"/>
      <c r="AA105" s="34"/>
      <c r="AB105" s="34"/>
      <c r="AC105" s="34"/>
      <c r="AD105" s="34"/>
      <c r="AE105" s="34"/>
      <c r="AF105" s="34"/>
      <c r="AG105" s="34"/>
      <c r="AH105" s="34"/>
      <c r="AI105" s="34"/>
      <c r="AJ105" s="34"/>
      <c r="AK105" s="34"/>
    </row>
    <row r="106" spans="1:37">
      <c r="A106" s="3"/>
      <c r="B106" s="3"/>
      <c r="C106" s="3"/>
      <c r="D106" s="3"/>
      <c r="E106" s="3"/>
      <c r="F106" s="34"/>
      <c r="G106" s="34"/>
      <c r="H106" s="34"/>
      <c r="I106" s="34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34"/>
      <c r="AA106" s="34"/>
      <c r="AB106" s="34"/>
      <c r="AC106" s="34"/>
      <c r="AD106" s="34"/>
      <c r="AE106" s="34"/>
      <c r="AF106" s="34"/>
      <c r="AG106" s="34"/>
      <c r="AH106" s="34"/>
      <c r="AI106" s="34"/>
      <c r="AJ106" s="34"/>
      <c r="AK106" s="34"/>
    </row>
    <row r="107" spans="1:37">
      <c r="A107" s="3"/>
      <c r="B107" s="3"/>
      <c r="C107" s="3"/>
      <c r="D107" s="3"/>
      <c r="E107" s="3"/>
      <c r="F107" s="34"/>
      <c r="G107" s="34"/>
      <c r="H107" s="34"/>
      <c r="I107" s="34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34"/>
      <c r="W107" s="34"/>
      <c r="X107" s="34"/>
      <c r="Y107" s="34"/>
      <c r="Z107" s="34"/>
      <c r="AA107" s="34"/>
      <c r="AB107" s="34"/>
      <c r="AC107" s="34"/>
      <c r="AD107" s="34"/>
      <c r="AE107" s="34"/>
      <c r="AF107" s="34"/>
      <c r="AG107" s="34"/>
      <c r="AH107" s="34"/>
      <c r="AI107" s="34"/>
      <c r="AJ107" s="34"/>
      <c r="AK107" s="34"/>
    </row>
    <row r="108" spans="1:37">
      <c r="A108" s="3"/>
      <c r="B108" s="3"/>
      <c r="C108" s="3"/>
      <c r="D108" s="3"/>
      <c r="E108" s="3"/>
      <c r="F108" s="34"/>
      <c r="G108" s="34"/>
      <c r="H108" s="34"/>
      <c r="I108" s="34"/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34"/>
      <c r="V108" s="34"/>
      <c r="W108" s="34"/>
      <c r="X108" s="34"/>
      <c r="Y108" s="34"/>
      <c r="Z108" s="34"/>
      <c r="AA108" s="34"/>
      <c r="AB108" s="34"/>
      <c r="AC108" s="34"/>
      <c r="AD108" s="34"/>
      <c r="AE108" s="34"/>
      <c r="AF108" s="34"/>
      <c r="AG108" s="34"/>
      <c r="AH108" s="34"/>
      <c r="AI108" s="34"/>
      <c r="AJ108" s="34"/>
      <c r="AK108" s="34"/>
    </row>
    <row r="109" spans="1:37">
      <c r="A109" s="3"/>
      <c r="B109" s="3"/>
      <c r="C109" s="3"/>
      <c r="D109" s="3"/>
      <c r="E109" s="3"/>
      <c r="F109" s="34"/>
      <c r="G109" s="34"/>
      <c r="H109" s="34"/>
      <c r="I109" s="34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4"/>
      <c r="X109" s="34"/>
      <c r="Y109" s="34"/>
      <c r="Z109" s="34"/>
      <c r="AA109" s="34"/>
      <c r="AB109" s="34"/>
      <c r="AC109" s="34"/>
      <c r="AD109" s="34"/>
      <c r="AE109" s="34"/>
      <c r="AF109" s="34"/>
      <c r="AG109" s="34"/>
      <c r="AH109" s="34"/>
      <c r="AI109" s="34"/>
      <c r="AJ109" s="34"/>
      <c r="AK109" s="34"/>
    </row>
    <row r="110" spans="1:37">
      <c r="A110" s="3"/>
      <c r="B110" s="3"/>
      <c r="C110" s="3"/>
      <c r="D110" s="3"/>
      <c r="E110" s="3"/>
      <c r="F110" s="34"/>
      <c r="G110" s="34"/>
      <c r="H110" s="34"/>
      <c r="I110" s="34"/>
      <c r="J110" s="34"/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U110" s="34"/>
      <c r="V110" s="34"/>
      <c r="W110" s="34"/>
      <c r="X110" s="34"/>
      <c r="Y110" s="34"/>
      <c r="Z110" s="34"/>
      <c r="AA110" s="34"/>
      <c r="AB110" s="34"/>
      <c r="AC110" s="34"/>
      <c r="AD110" s="34"/>
      <c r="AE110" s="34"/>
      <c r="AF110" s="34"/>
      <c r="AG110" s="34"/>
      <c r="AH110" s="34"/>
      <c r="AI110" s="34"/>
      <c r="AJ110" s="34"/>
      <c r="AK110" s="34"/>
    </row>
    <row r="111" spans="1:37">
      <c r="A111" s="3"/>
      <c r="B111" s="3"/>
      <c r="C111" s="3"/>
      <c r="D111" s="3"/>
      <c r="E111" s="3"/>
      <c r="F111" s="34"/>
      <c r="G111" s="34"/>
      <c r="H111" s="34"/>
      <c r="I111" s="34"/>
      <c r="J111" s="3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4"/>
      <c r="V111" s="34"/>
      <c r="W111" s="34"/>
      <c r="X111" s="34"/>
      <c r="Y111" s="34"/>
      <c r="Z111" s="34"/>
      <c r="AA111" s="34"/>
      <c r="AB111" s="34"/>
      <c r="AC111" s="34"/>
      <c r="AD111" s="34"/>
      <c r="AE111" s="34"/>
      <c r="AF111" s="34"/>
      <c r="AG111" s="34"/>
      <c r="AH111" s="34"/>
      <c r="AI111" s="34"/>
      <c r="AJ111" s="34"/>
      <c r="AK111" s="34"/>
    </row>
    <row r="112" spans="1:37">
      <c r="A112" s="3"/>
      <c r="B112" s="3"/>
      <c r="C112" s="3"/>
      <c r="D112" s="3"/>
      <c r="E112" s="3"/>
      <c r="F112" s="34"/>
      <c r="G112" s="34"/>
      <c r="H112" s="34"/>
      <c r="I112" s="34"/>
      <c r="J112" s="34"/>
      <c r="K112" s="34"/>
      <c r="L112" s="34"/>
      <c r="M112" s="34"/>
      <c r="N112" s="34"/>
      <c r="O112" s="34"/>
      <c r="P112" s="34"/>
      <c r="Q112" s="34"/>
      <c r="R112" s="34"/>
      <c r="S112" s="34"/>
      <c r="T112" s="34"/>
      <c r="U112" s="34"/>
      <c r="V112" s="34"/>
      <c r="W112" s="34"/>
      <c r="X112" s="34"/>
      <c r="Y112" s="34"/>
      <c r="Z112" s="34"/>
      <c r="AA112" s="34"/>
      <c r="AB112" s="34"/>
      <c r="AC112" s="34"/>
      <c r="AD112" s="34"/>
      <c r="AE112" s="34"/>
      <c r="AF112" s="34"/>
      <c r="AG112" s="34"/>
      <c r="AH112" s="34"/>
      <c r="AI112" s="34"/>
      <c r="AJ112" s="34"/>
      <c r="AK112" s="34"/>
    </row>
    <row r="113" spans="1:37">
      <c r="A113" s="3"/>
      <c r="B113" s="3"/>
      <c r="C113" s="3"/>
      <c r="D113" s="3"/>
      <c r="E113" s="3"/>
      <c r="F113" s="34"/>
      <c r="G113" s="34"/>
      <c r="H113" s="34"/>
      <c r="I113" s="34"/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4"/>
      <c r="V113" s="34"/>
      <c r="W113" s="34"/>
      <c r="X113" s="34"/>
      <c r="Y113" s="34"/>
      <c r="Z113" s="34"/>
      <c r="AA113" s="34"/>
      <c r="AB113" s="34"/>
      <c r="AC113" s="34"/>
      <c r="AD113" s="34"/>
      <c r="AE113" s="34"/>
      <c r="AF113" s="34"/>
      <c r="AG113" s="34"/>
      <c r="AH113" s="34"/>
      <c r="AI113" s="34"/>
      <c r="AJ113" s="34"/>
      <c r="AK113" s="34"/>
    </row>
    <row r="114" spans="1:37">
      <c r="A114" s="3"/>
      <c r="B114" s="3"/>
      <c r="C114" s="3"/>
      <c r="D114" s="3"/>
      <c r="E114" s="3"/>
      <c r="F114" s="34"/>
      <c r="G114" s="34"/>
      <c r="H114" s="34"/>
      <c r="I114" s="34"/>
      <c r="J114" s="34"/>
      <c r="K114" s="34"/>
      <c r="L114" s="34"/>
      <c r="M114" s="34"/>
      <c r="N114" s="34"/>
      <c r="O114" s="34"/>
      <c r="P114" s="34"/>
      <c r="Q114" s="34"/>
      <c r="R114" s="34"/>
      <c r="S114" s="34"/>
      <c r="T114" s="34"/>
      <c r="U114" s="34"/>
      <c r="V114" s="34"/>
      <c r="W114" s="34"/>
      <c r="X114" s="34"/>
      <c r="Y114" s="34"/>
      <c r="Z114" s="34"/>
      <c r="AA114" s="34"/>
      <c r="AB114" s="34"/>
      <c r="AC114" s="34"/>
      <c r="AD114" s="34"/>
      <c r="AE114" s="34"/>
      <c r="AF114" s="34"/>
      <c r="AG114" s="34"/>
      <c r="AH114" s="34"/>
      <c r="AI114" s="34"/>
      <c r="AJ114" s="34"/>
      <c r="AK114" s="34"/>
    </row>
    <row r="115" spans="1:37">
      <c r="A115" s="3"/>
      <c r="B115" s="3"/>
      <c r="C115" s="3"/>
      <c r="D115" s="3"/>
      <c r="E115" s="3"/>
      <c r="F115" s="34"/>
      <c r="G115" s="34"/>
      <c r="H115" s="34"/>
      <c r="I115" s="34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/>
      <c r="Z115" s="34"/>
      <c r="AA115" s="34"/>
      <c r="AB115" s="34"/>
      <c r="AC115" s="34"/>
      <c r="AD115" s="34"/>
      <c r="AE115" s="34"/>
      <c r="AF115" s="34"/>
      <c r="AG115" s="34"/>
      <c r="AH115" s="34"/>
      <c r="AI115" s="34"/>
      <c r="AJ115" s="34"/>
      <c r="AK115" s="34"/>
    </row>
    <row r="116" spans="1:37">
      <c r="A116" s="3"/>
      <c r="B116" s="3"/>
      <c r="C116" s="3"/>
      <c r="D116" s="3"/>
      <c r="E116" s="3"/>
      <c r="F116" s="34"/>
      <c r="G116" s="34"/>
      <c r="H116" s="34"/>
      <c r="I116" s="34"/>
      <c r="J116" s="34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4"/>
      <c r="AA116" s="34"/>
      <c r="AB116" s="34"/>
      <c r="AC116" s="34"/>
      <c r="AD116" s="34"/>
      <c r="AE116" s="34"/>
      <c r="AF116" s="34"/>
      <c r="AG116" s="34"/>
      <c r="AH116" s="34"/>
      <c r="AI116" s="34"/>
      <c r="AJ116" s="34"/>
      <c r="AK116" s="34"/>
    </row>
    <row r="117" spans="1:37">
      <c r="A117" s="3"/>
      <c r="B117" s="3"/>
      <c r="C117" s="3"/>
      <c r="D117" s="3"/>
      <c r="E117" s="3"/>
      <c r="F117" s="34"/>
      <c r="G117" s="34"/>
      <c r="H117" s="34"/>
      <c r="I117" s="34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/>
      <c r="Z117" s="34"/>
      <c r="AA117" s="34"/>
      <c r="AB117" s="34"/>
      <c r="AC117" s="34"/>
      <c r="AD117" s="34"/>
      <c r="AE117" s="34"/>
      <c r="AF117" s="34"/>
      <c r="AG117" s="34"/>
      <c r="AH117" s="34"/>
      <c r="AI117" s="34"/>
      <c r="AJ117" s="34"/>
      <c r="AK117" s="34"/>
    </row>
    <row r="118" spans="1:37">
      <c r="A118" s="3"/>
      <c r="B118" s="3"/>
      <c r="C118" s="3"/>
      <c r="D118" s="3"/>
      <c r="E118" s="3"/>
      <c r="F118" s="34"/>
      <c r="G118" s="34"/>
      <c r="H118" s="34"/>
      <c r="I118" s="34"/>
      <c r="J118" s="34"/>
      <c r="K118" s="34"/>
      <c r="L118" s="34"/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34"/>
      <c r="Z118" s="34"/>
      <c r="AA118" s="34"/>
      <c r="AB118" s="34"/>
      <c r="AC118" s="34"/>
      <c r="AD118" s="34"/>
      <c r="AE118" s="34"/>
      <c r="AF118" s="34"/>
      <c r="AG118" s="34"/>
      <c r="AH118" s="34"/>
      <c r="AI118" s="34"/>
      <c r="AJ118" s="34"/>
      <c r="AK118" s="34"/>
    </row>
    <row r="119" spans="1:37">
      <c r="A119" s="3"/>
      <c r="B119" s="3"/>
      <c r="C119" s="3"/>
      <c r="D119" s="3"/>
      <c r="E119" s="3"/>
      <c r="F119" s="34"/>
      <c r="G119" s="34"/>
      <c r="H119" s="34"/>
      <c r="I119" s="34"/>
      <c r="J119" s="34"/>
      <c r="K119" s="34"/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34"/>
      <c r="W119" s="34"/>
      <c r="X119" s="34"/>
      <c r="Y119" s="34"/>
      <c r="Z119" s="34"/>
      <c r="AA119" s="34"/>
      <c r="AB119" s="34"/>
      <c r="AC119" s="34"/>
      <c r="AD119" s="34"/>
      <c r="AE119" s="34"/>
      <c r="AF119" s="34"/>
      <c r="AG119" s="34"/>
      <c r="AH119" s="34"/>
      <c r="AI119" s="34"/>
      <c r="AJ119" s="34"/>
      <c r="AK119" s="34"/>
    </row>
    <row r="120" spans="1:37">
      <c r="A120" s="3"/>
      <c r="B120" s="3"/>
      <c r="C120" s="3"/>
      <c r="D120" s="3"/>
      <c r="E120" s="3"/>
      <c r="F120" s="34"/>
      <c r="G120" s="34"/>
      <c r="H120" s="34"/>
      <c r="I120" s="34"/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4"/>
      <c r="AA120" s="34"/>
      <c r="AB120" s="34"/>
      <c r="AC120" s="34"/>
      <c r="AD120" s="34"/>
      <c r="AE120" s="34"/>
      <c r="AF120" s="34"/>
      <c r="AG120" s="34"/>
      <c r="AH120" s="34"/>
      <c r="AI120" s="34"/>
      <c r="AJ120" s="34"/>
      <c r="AK120" s="34"/>
    </row>
    <row r="121" spans="1:37">
      <c r="A121" s="3"/>
      <c r="B121" s="3"/>
      <c r="C121" s="3"/>
      <c r="D121" s="3"/>
      <c r="E121" s="3"/>
      <c r="F121" s="34"/>
      <c r="G121" s="34"/>
      <c r="H121" s="34"/>
      <c r="I121" s="34"/>
      <c r="J121" s="3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  <c r="Z121" s="34"/>
      <c r="AA121" s="34"/>
      <c r="AB121" s="34"/>
      <c r="AC121" s="34"/>
      <c r="AD121" s="34"/>
      <c r="AE121" s="34"/>
      <c r="AF121" s="34"/>
      <c r="AG121" s="34"/>
      <c r="AH121" s="34"/>
      <c r="AI121" s="34"/>
      <c r="AJ121" s="34"/>
      <c r="AK121" s="34"/>
    </row>
    <row r="122" spans="1:37">
      <c r="A122" s="3"/>
      <c r="B122" s="3"/>
      <c r="C122" s="3"/>
      <c r="D122" s="3"/>
      <c r="E122" s="3"/>
      <c r="F122" s="34"/>
      <c r="G122" s="34"/>
      <c r="H122" s="34"/>
      <c r="I122" s="34"/>
      <c r="J122" s="34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34"/>
      <c r="AA122" s="34"/>
      <c r="AB122" s="34"/>
      <c r="AC122" s="34"/>
      <c r="AD122" s="34"/>
      <c r="AE122" s="34"/>
      <c r="AF122" s="34"/>
      <c r="AG122" s="34"/>
      <c r="AH122" s="34"/>
      <c r="AI122" s="34"/>
      <c r="AJ122" s="34"/>
      <c r="AK122" s="34"/>
    </row>
    <row r="123" spans="1:37">
      <c r="A123" s="3"/>
      <c r="B123" s="3"/>
      <c r="C123" s="3"/>
      <c r="D123" s="3"/>
      <c r="E123" s="3"/>
      <c r="F123" s="34"/>
      <c r="G123" s="34"/>
      <c r="H123" s="34"/>
      <c r="I123" s="34"/>
      <c r="J123" s="34"/>
      <c r="K123" s="34"/>
      <c r="L123" s="34"/>
      <c r="M123" s="34"/>
      <c r="N123" s="34"/>
      <c r="O123" s="34"/>
      <c r="P123" s="34"/>
      <c r="Q123" s="34"/>
      <c r="R123" s="34"/>
      <c r="S123" s="34"/>
      <c r="T123" s="34"/>
      <c r="U123" s="34"/>
      <c r="V123" s="34"/>
      <c r="W123" s="34"/>
      <c r="X123" s="34"/>
      <c r="Y123" s="34"/>
      <c r="Z123" s="34"/>
      <c r="AA123" s="34"/>
      <c r="AB123" s="34"/>
      <c r="AC123" s="34"/>
      <c r="AD123" s="34"/>
      <c r="AE123" s="34"/>
      <c r="AF123" s="34"/>
      <c r="AG123" s="34"/>
      <c r="AH123" s="34"/>
      <c r="AI123" s="34"/>
      <c r="AJ123" s="34"/>
      <c r="AK123" s="34"/>
    </row>
    <row r="124" spans="1:37">
      <c r="A124" s="3"/>
      <c r="B124" s="3"/>
      <c r="C124" s="3"/>
      <c r="D124" s="3"/>
      <c r="E124" s="3"/>
      <c r="F124" s="34"/>
      <c r="G124" s="34"/>
      <c r="H124" s="34"/>
      <c r="I124" s="34"/>
      <c r="J124" s="34"/>
      <c r="K124" s="34"/>
      <c r="L124" s="34"/>
      <c r="M124" s="34"/>
      <c r="N124" s="34"/>
      <c r="O124" s="34"/>
      <c r="P124" s="34"/>
      <c r="Q124" s="34"/>
      <c r="R124" s="34"/>
      <c r="S124" s="34"/>
      <c r="T124" s="34"/>
      <c r="U124" s="34"/>
      <c r="V124" s="34"/>
      <c r="W124" s="34"/>
      <c r="X124" s="34"/>
      <c r="Y124" s="34"/>
      <c r="Z124" s="34"/>
      <c r="AA124" s="34"/>
      <c r="AB124" s="34"/>
      <c r="AC124" s="34"/>
      <c r="AD124" s="34"/>
      <c r="AE124" s="34"/>
      <c r="AF124" s="34"/>
      <c r="AG124" s="34"/>
      <c r="AH124" s="34"/>
      <c r="AI124" s="34"/>
      <c r="AJ124" s="34"/>
      <c r="AK124" s="34"/>
    </row>
    <row r="125" spans="1:37">
      <c r="A125" s="3"/>
      <c r="B125" s="3"/>
      <c r="C125" s="3"/>
      <c r="D125" s="3"/>
      <c r="E125" s="3"/>
      <c r="F125" s="34"/>
      <c r="G125" s="34"/>
      <c r="H125" s="34"/>
      <c r="I125" s="34"/>
      <c r="J125" s="34"/>
      <c r="K125" s="34"/>
      <c r="L125" s="34"/>
      <c r="M125" s="34"/>
      <c r="N125" s="34"/>
      <c r="O125" s="34"/>
      <c r="P125" s="34"/>
      <c r="Q125" s="34"/>
      <c r="R125" s="34"/>
      <c r="S125" s="34"/>
      <c r="T125" s="34"/>
      <c r="U125" s="34"/>
      <c r="V125" s="34"/>
      <c r="W125" s="34"/>
      <c r="X125" s="34"/>
      <c r="Y125" s="34"/>
      <c r="Z125" s="34"/>
      <c r="AA125" s="34"/>
      <c r="AB125" s="34"/>
      <c r="AC125" s="34"/>
      <c r="AD125" s="34"/>
      <c r="AE125" s="34"/>
      <c r="AF125" s="34"/>
      <c r="AG125" s="34"/>
      <c r="AH125" s="34"/>
      <c r="AI125" s="34"/>
      <c r="AJ125" s="34"/>
      <c r="AK125" s="34"/>
    </row>
    <row r="126" spans="1:37">
      <c r="A126" s="3"/>
      <c r="B126" s="3"/>
      <c r="C126" s="3"/>
      <c r="D126" s="3"/>
      <c r="E126" s="3"/>
      <c r="F126" s="34"/>
      <c r="G126" s="34"/>
      <c r="H126" s="34"/>
      <c r="I126" s="34"/>
      <c r="J126" s="34"/>
      <c r="K126" s="34"/>
      <c r="L126" s="34"/>
      <c r="M126" s="34"/>
      <c r="N126" s="34"/>
      <c r="O126" s="34"/>
      <c r="P126" s="34"/>
      <c r="Q126" s="34"/>
      <c r="R126" s="34"/>
      <c r="S126" s="34"/>
      <c r="T126" s="34"/>
      <c r="U126" s="34"/>
      <c r="V126" s="34"/>
      <c r="W126" s="34"/>
      <c r="X126" s="34"/>
      <c r="Y126" s="34"/>
      <c r="Z126" s="34"/>
      <c r="AA126" s="34"/>
      <c r="AB126" s="34"/>
      <c r="AC126" s="34"/>
      <c r="AD126" s="34"/>
      <c r="AE126" s="34"/>
      <c r="AF126" s="34"/>
      <c r="AG126" s="34"/>
      <c r="AH126" s="34"/>
      <c r="AI126" s="34"/>
      <c r="AJ126" s="34"/>
      <c r="AK126" s="34"/>
    </row>
    <row r="127" spans="1:37">
      <c r="A127" s="3"/>
      <c r="B127" s="3"/>
      <c r="C127" s="3"/>
      <c r="D127" s="3"/>
      <c r="E127" s="3"/>
      <c r="F127" s="34"/>
      <c r="G127" s="34"/>
      <c r="H127" s="34"/>
      <c r="I127" s="34"/>
      <c r="J127" s="34"/>
      <c r="K127" s="34"/>
      <c r="L127" s="34"/>
      <c r="M127" s="34"/>
      <c r="N127" s="34"/>
      <c r="O127" s="34"/>
      <c r="P127" s="34"/>
      <c r="Q127" s="34"/>
      <c r="R127" s="34"/>
      <c r="S127" s="34"/>
      <c r="T127" s="34"/>
      <c r="U127" s="34"/>
      <c r="V127" s="34"/>
      <c r="W127" s="34"/>
      <c r="X127" s="34"/>
      <c r="Y127" s="34"/>
      <c r="Z127" s="34"/>
      <c r="AA127" s="34"/>
      <c r="AB127" s="34"/>
      <c r="AC127" s="34"/>
      <c r="AD127" s="34"/>
      <c r="AE127" s="34"/>
      <c r="AF127" s="34"/>
      <c r="AG127" s="34"/>
      <c r="AH127" s="34"/>
      <c r="AI127" s="34"/>
      <c r="AJ127" s="34"/>
      <c r="AK127" s="34"/>
    </row>
    <row r="128" spans="1:37">
      <c r="A128" s="3"/>
      <c r="B128" s="3"/>
      <c r="C128" s="3"/>
      <c r="D128" s="3"/>
      <c r="E128" s="3"/>
      <c r="F128" s="34"/>
      <c r="G128" s="34"/>
      <c r="H128" s="34"/>
      <c r="I128" s="34"/>
      <c r="J128" s="34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4"/>
      <c r="AA128" s="34"/>
      <c r="AB128" s="34"/>
      <c r="AC128" s="34"/>
      <c r="AD128" s="34"/>
      <c r="AE128" s="34"/>
      <c r="AF128" s="34"/>
      <c r="AG128" s="34"/>
      <c r="AH128" s="34"/>
      <c r="AI128" s="34"/>
      <c r="AJ128" s="34"/>
      <c r="AK128" s="34"/>
    </row>
    <row r="129" spans="1:37">
      <c r="A129" s="3"/>
      <c r="B129" s="3"/>
      <c r="C129" s="3"/>
      <c r="D129" s="3"/>
      <c r="E129" s="3"/>
      <c r="F129" s="34"/>
      <c r="G129" s="34"/>
      <c r="H129" s="34"/>
      <c r="I129" s="34"/>
      <c r="J129" s="34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4"/>
      <c r="AA129" s="34"/>
      <c r="AB129" s="34"/>
      <c r="AC129" s="34"/>
      <c r="AD129" s="34"/>
      <c r="AE129" s="34"/>
      <c r="AF129" s="34"/>
      <c r="AG129" s="34"/>
      <c r="AH129" s="34"/>
      <c r="AI129" s="34"/>
      <c r="AJ129" s="34"/>
      <c r="AK129" s="34"/>
    </row>
    <row r="130" spans="1:37">
      <c r="A130" s="3"/>
      <c r="B130" s="3"/>
      <c r="C130" s="3"/>
      <c r="D130" s="3"/>
      <c r="E130" s="3"/>
      <c r="F130" s="34"/>
      <c r="G130" s="34"/>
      <c r="H130" s="34"/>
      <c r="I130" s="34"/>
      <c r="J130" s="34"/>
      <c r="K130" s="34"/>
      <c r="L130" s="34"/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4"/>
      <c r="Z130" s="34"/>
      <c r="AA130" s="34"/>
      <c r="AB130" s="34"/>
      <c r="AC130" s="34"/>
      <c r="AD130" s="34"/>
      <c r="AE130" s="34"/>
      <c r="AF130" s="34"/>
      <c r="AG130" s="34"/>
      <c r="AH130" s="34"/>
      <c r="AI130" s="34"/>
      <c r="AJ130" s="34"/>
      <c r="AK130" s="34"/>
    </row>
    <row r="131" spans="1:37">
      <c r="A131" s="3"/>
      <c r="B131" s="3"/>
      <c r="C131" s="3"/>
      <c r="D131" s="3"/>
      <c r="E131" s="3"/>
      <c r="F131" s="34"/>
      <c r="G131" s="34"/>
      <c r="H131" s="34"/>
      <c r="I131" s="34"/>
      <c r="J131" s="34"/>
      <c r="K131" s="34"/>
      <c r="L131" s="34"/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4"/>
      <c r="X131" s="34"/>
      <c r="Y131" s="34"/>
      <c r="Z131" s="34"/>
      <c r="AA131" s="34"/>
      <c r="AB131" s="34"/>
      <c r="AC131" s="34"/>
      <c r="AD131" s="34"/>
      <c r="AE131" s="34"/>
      <c r="AF131" s="34"/>
      <c r="AG131" s="34"/>
      <c r="AH131" s="34"/>
      <c r="AI131" s="34"/>
      <c r="AJ131" s="34"/>
      <c r="AK131" s="34"/>
    </row>
    <row r="132" spans="1:37">
      <c r="A132" s="3"/>
      <c r="B132" s="3"/>
      <c r="C132" s="3"/>
      <c r="D132" s="3"/>
      <c r="E132" s="3"/>
      <c r="F132" s="34"/>
      <c r="G132" s="34"/>
      <c r="H132" s="34"/>
      <c r="I132" s="34"/>
      <c r="J132" s="34"/>
      <c r="K132" s="34"/>
      <c r="L132" s="34"/>
      <c r="M132" s="34"/>
      <c r="N132" s="34"/>
      <c r="O132" s="34"/>
      <c r="P132" s="34"/>
      <c r="Q132" s="34"/>
      <c r="R132" s="34"/>
      <c r="S132" s="34"/>
      <c r="T132" s="34"/>
      <c r="U132" s="34"/>
      <c r="V132" s="34"/>
      <c r="W132" s="34"/>
      <c r="X132" s="34"/>
      <c r="Y132" s="34"/>
      <c r="Z132" s="34"/>
      <c r="AA132" s="34"/>
      <c r="AB132" s="34"/>
      <c r="AC132" s="34"/>
      <c r="AD132" s="34"/>
      <c r="AE132" s="34"/>
      <c r="AF132" s="34"/>
      <c r="AG132" s="34"/>
      <c r="AH132" s="34"/>
      <c r="AI132" s="34"/>
      <c r="AJ132" s="34"/>
      <c r="AK132" s="34"/>
    </row>
    <row r="133" spans="1:37">
      <c r="A133" s="3"/>
      <c r="B133" s="3"/>
      <c r="C133" s="3"/>
      <c r="D133" s="3"/>
      <c r="E133" s="3"/>
      <c r="F133" s="34"/>
      <c r="G133" s="34"/>
      <c r="H133" s="34"/>
      <c r="I133" s="34"/>
      <c r="J133" s="34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4"/>
      <c r="AA133" s="34"/>
      <c r="AB133" s="34"/>
      <c r="AC133" s="34"/>
      <c r="AD133" s="34"/>
      <c r="AE133" s="34"/>
      <c r="AF133" s="34"/>
      <c r="AG133" s="34"/>
      <c r="AH133" s="34"/>
      <c r="AI133" s="34"/>
      <c r="AJ133" s="34"/>
      <c r="AK133" s="34"/>
    </row>
    <row r="134" spans="1:37">
      <c r="A134" s="3"/>
      <c r="B134" s="3"/>
      <c r="C134" s="3"/>
      <c r="D134" s="3"/>
      <c r="E134" s="3"/>
      <c r="F134" s="34"/>
      <c r="G134" s="34"/>
      <c r="H134" s="34"/>
      <c r="I134" s="34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4"/>
      <c r="Z134" s="34"/>
      <c r="AA134" s="34"/>
      <c r="AB134" s="34"/>
      <c r="AC134" s="34"/>
      <c r="AD134" s="34"/>
      <c r="AE134" s="34"/>
      <c r="AF134" s="34"/>
      <c r="AG134" s="34"/>
      <c r="AH134" s="34"/>
      <c r="AI134" s="34"/>
      <c r="AJ134" s="34"/>
      <c r="AK134" s="34"/>
    </row>
    <row r="135" spans="1:37">
      <c r="A135" s="3"/>
      <c r="B135" s="3"/>
      <c r="C135" s="3"/>
      <c r="D135" s="3"/>
      <c r="E135" s="3"/>
      <c r="F135" s="34"/>
      <c r="G135" s="34"/>
      <c r="H135" s="34"/>
      <c r="I135" s="34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  <c r="AA135" s="34"/>
      <c r="AB135" s="34"/>
      <c r="AC135" s="34"/>
      <c r="AD135" s="34"/>
      <c r="AE135" s="34"/>
      <c r="AF135" s="34"/>
      <c r="AG135" s="34"/>
      <c r="AH135" s="34"/>
      <c r="AI135" s="34"/>
      <c r="AJ135" s="34"/>
      <c r="AK135" s="34"/>
    </row>
    <row r="136" spans="1:37">
      <c r="A136" s="3"/>
      <c r="B136" s="3"/>
      <c r="C136" s="3"/>
      <c r="D136" s="3"/>
      <c r="E136" s="3"/>
      <c r="F136" s="34"/>
      <c r="G136" s="34"/>
      <c r="H136" s="34"/>
      <c r="I136" s="34"/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34"/>
      <c r="Z136" s="34"/>
      <c r="AA136" s="34"/>
      <c r="AB136" s="34"/>
      <c r="AC136" s="34"/>
      <c r="AD136" s="34"/>
      <c r="AE136" s="34"/>
      <c r="AF136" s="34"/>
      <c r="AG136" s="34"/>
      <c r="AH136" s="34"/>
      <c r="AI136" s="34"/>
      <c r="AJ136" s="34"/>
      <c r="AK136" s="34"/>
    </row>
    <row r="137" spans="1:37">
      <c r="A137" s="3"/>
      <c r="B137" s="3"/>
      <c r="C137" s="3"/>
      <c r="D137" s="3"/>
      <c r="E137" s="3"/>
      <c r="F137" s="34"/>
      <c r="G137" s="34"/>
      <c r="H137" s="34"/>
      <c r="I137" s="34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  <c r="Z137" s="34"/>
      <c r="AA137" s="34"/>
      <c r="AB137" s="34"/>
      <c r="AC137" s="34"/>
      <c r="AD137" s="34"/>
      <c r="AE137" s="34"/>
      <c r="AF137" s="34"/>
      <c r="AG137" s="34"/>
      <c r="AH137" s="34"/>
      <c r="AI137" s="34"/>
      <c r="AJ137" s="34"/>
      <c r="AK137" s="34"/>
    </row>
    <row r="138" spans="1:37">
      <c r="A138" s="3"/>
      <c r="B138" s="3"/>
      <c r="C138" s="3"/>
      <c r="D138" s="3"/>
      <c r="E138" s="3"/>
      <c r="F138" s="34"/>
      <c r="G138" s="34"/>
      <c r="H138" s="34"/>
      <c r="I138" s="34"/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/>
      <c r="Z138" s="34"/>
      <c r="AA138" s="34"/>
      <c r="AB138" s="34"/>
      <c r="AC138" s="34"/>
      <c r="AD138" s="34"/>
      <c r="AE138" s="34"/>
      <c r="AF138" s="34"/>
      <c r="AG138" s="34"/>
      <c r="AH138" s="34"/>
      <c r="AI138" s="34"/>
      <c r="AJ138" s="34"/>
      <c r="AK138" s="34"/>
    </row>
    <row r="139" spans="1:37">
      <c r="A139" s="3"/>
      <c r="B139" s="3"/>
      <c r="C139" s="3"/>
      <c r="D139" s="3"/>
      <c r="E139" s="3"/>
      <c r="F139" s="34"/>
      <c r="G139" s="34"/>
      <c r="H139" s="34"/>
      <c r="I139" s="34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/>
      <c r="Z139" s="34"/>
      <c r="AA139" s="34"/>
      <c r="AB139" s="34"/>
      <c r="AC139" s="34"/>
      <c r="AD139" s="34"/>
      <c r="AE139" s="34"/>
      <c r="AF139" s="34"/>
      <c r="AG139" s="34"/>
      <c r="AH139" s="34"/>
      <c r="AI139" s="34"/>
      <c r="AJ139" s="34"/>
      <c r="AK139" s="34"/>
    </row>
    <row r="140" spans="1:37">
      <c r="A140" s="3"/>
      <c r="B140" s="3"/>
      <c r="C140" s="3"/>
      <c r="D140" s="3"/>
      <c r="E140" s="3"/>
      <c r="F140" s="34"/>
      <c r="G140" s="34"/>
      <c r="H140" s="34"/>
      <c r="I140" s="34"/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/>
      <c r="Z140" s="34"/>
      <c r="AA140" s="34"/>
      <c r="AB140" s="34"/>
      <c r="AC140" s="34"/>
      <c r="AD140" s="34"/>
      <c r="AE140" s="34"/>
      <c r="AF140" s="34"/>
      <c r="AG140" s="34"/>
      <c r="AH140" s="34"/>
      <c r="AI140" s="34"/>
      <c r="AJ140" s="34"/>
      <c r="AK140" s="34"/>
    </row>
    <row r="141" spans="1:37">
      <c r="A141" s="3"/>
      <c r="B141" s="3"/>
      <c r="C141" s="3"/>
      <c r="D141" s="3"/>
      <c r="E141" s="3"/>
      <c r="F141" s="34"/>
      <c r="G141" s="34"/>
      <c r="H141" s="34"/>
      <c r="I141" s="34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/>
      <c r="Z141" s="34"/>
      <c r="AA141" s="34"/>
      <c r="AB141" s="34"/>
      <c r="AC141" s="34"/>
      <c r="AD141" s="34"/>
      <c r="AE141" s="34"/>
      <c r="AF141" s="34"/>
      <c r="AG141" s="34"/>
      <c r="AH141" s="34"/>
      <c r="AI141" s="34"/>
      <c r="AJ141" s="34"/>
      <c r="AK141" s="34"/>
    </row>
    <row r="142" spans="1:37">
      <c r="A142" s="3"/>
      <c r="B142" s="3"/>
      <c r="C142" s="3"/>
      <c r="D142" s="3"/>
      <c r="E142" s="3"/>
      <c r="F142" s="34"/>
      <c r="G142" s="34"/>
      <c r="H142" s="34"/>
      <c r="I142" s="34"/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4"/>
      <c r="V142" s="34"/>
      <c r="W142" s="34"/>
      <c r="X142" s="34"/>
      <c r="Y142" s="34"/>
      <c r="Z142" s="34"/>
      <c r="AA142" s="34"/>
      <c r="AB142" s="34"/>
      <c r="AC142" s="34"/>
      <c r="AD142" s="34"/>
      <c r="AE142" s="34"/>
      <c r="AF142" s="34"/>
      <c r="AG142" s="34"/>
      <c r="AH142" s="34"/>
      <c r="AI142" s="34"/>
      <c r="AJ142" s="34"/>
      <c r="AK142" s="34"/>
    </row>
    <row r="143" spans="1:37">
      <c r="A143" s="3"/>
      <c r="B143" s="3"/>
      <c r="C143" s="3"/>
      <c r="D143" s="3"/>
      <c r="E143" s="3"/>
      <c r="F143" s="34"/>
      <c r="G143" s="34"/>
      <c r="H143" s="34"/>
      <c r="I143" s="34"/>
      <c r="J143" s="34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4"/>
      <c r="V143" s="34"/>
      <c r="W143" s="34"/>
      <c r="X143" s="34"/>
      <c r="Y143" s="34"/>
      <c r="Z143" s="34"/>
      <c r="AA143" s="34"/>
      <c r="AB143" s="34"/>
      <c r="AC143" s="34"/>
      <c r="AD143" s="34"/>
      <c r="AE143" s="34"/>
      <c r="AF143" s="34"/>
      <c r="AG143" s="34"/>
      <c r="AH143" s="34"/>
      <c r="AI143" s="34"/>
      <c r="AJ143" s="34"/>
      <c r="AK143" s="34"/>
    </row>
    <row r="144" spans="1:37">
      <c r="A144" s="3"/>
      <c r="B144" s="3"/>
      <c r="C144" s="3"/>
      <c r="D144" s="3"/>
      <c r="E144" s="3"/>
      <c r="F144" s="34"/>
      <c r="G144" s="34"/>
      <c r="H144" s="34"/>
      <c r="I144" s="34"/>
      <c r="J144" s="34"/>
      <c r="K144" s="34"/>
      <c r="L144" s="34"/>
      <c r="M144" s="34"/>
      <c r="N144" s="34"/>
      <c r="O144" s="34"/>
      <c r="P144" s="34"/>
      <c r="Q144" s="34"/>
      <c r="R144" s="34"/>
      <c r="S144" s="34"/>
      <c r="T144" s="34"/>
      <c r="U144" s="34"/>
      <c r="V144" s="34"/>
      <c r="W144" s="34"/>
      <c r="X144" s="34"/>
      <c r="Y144" s="34"/>
      <c r="Z144" s="34"/>
      <c r="AA144" s="34"/>
      <c r="AB144" s="34"/>
      <c r="AC144" s="34"/>
      <c r="AD144" s="34"/>
      <c r="AE144" s="34"/>
      <c r="AF144" s="34"/>
      <c r="AG144" s="34"/>
      <c r="AH144" s="34"/>
      <c r="AI144" s="34"/>
      <c r="AJ144" s="34"/>
      <c r="AK144" s="34"/>
    </row>
    <row r="145" spans="1:37">
      <c r="A145" s="3"/>
      <c r="B145" s="3"/>
      <c r="C145" s="3"/>
      <c r="D145" s="3"/>
      <c r="E145" s="3"/>
      <c r="F145" s="34"/>
      <c r="G145" s="34"/>
      <c r="H145" s="34"/>
      <c r="I145" s="34"/>
      <c r="J145" s="34"/>
      <c r="K145" s="34"/>
      <c r="L145" s="34"/>
      <c r="M145" s="34"/>
      <c r="N145" s="34"/>
      <c r="O145" s="34"/>
      <c r="P145" s="34"/>
      <c r="Q145" s="34"/>
      <c r="R145" s="34"/>
      <c r="S145" s="34"/>
      <c r="T145" s="34"/>
      <c r="U145" s="34"/>
      <c r="V145" s="34"/>
      <c r="W145" s="34"/>
      <c r="X145" s="34"/>
      <c r="Y145" s="34"/>
      <c r="Z145" s="34"/>
      <c r="AA145" s="34"/>
      <c r="AB145" s="34"/>
      <c r="AC145" s="34"/>
      <c r="AD145" s="34"/>
      <c r="AE145" s="34"/>
      <c r="AF145" s="34"/>
      <c r="AG145" s="34"/>
      <c r="AH145" s="34"/>
      <c r="AI145" s="34"/>
      <c r="AJ145" s="34"/>
      <c r="AK145" s="34"/>
    </row>
    <row r="146" spans="1:37">
      <c r="A146" s="3"/>
      <c r="B146" s="3"/>
      <c r="C146" s="3"/>
      <c r="D146" s="3"/>
      <c r="E146" s="3"/>
      <c r="F146" s="34"/>
      <c r="G146" s="34"/>
      <c r="H146" s="34"/>
      <c r="I146" s="34"/>
      <c r="J146" s="34"/>
      <c r="K146" s="34"/>
      <c r="L146" s="34"/>
      <c r="M146" s="34"/>
      <c r="N146" s="34"/>
      <c r="O146" s="34"/>
      <c r="P146" s="34"/>
      <c r="Q146" s="34"/>
      <c r="R146" s="34"/>
      <c r="S146" s="34"/>
      <c r="T146" s="34"/>
      <c r="U146" s="34"/>
      <c r="V146" s="34"/>
      <c r="W146" s="34"/>
      <c r="X146" s="34"/>
      <c r="Y146" s="34"/>
      <c r="Z146" s="34"/>
      <c r="AA146" s="34"/>
      <c r="AB146" s="34"/>
      <c r="AC146" s="34"/>
      <c r="AD146" s="34"/>
      <c r="AE146" s="34"/>
      <c r="AF146" s="34"/>
      <c r="AG146" s="34"/>
      <c r="AH146" s="34"/>
      <c r="AI146" s="34"/>
      <c r="AJ146" s="34"/>
      <c r="AK146" s="34"/>
    </row>
    <row r="147" spans="1:37">
      <c r="A147" s="3"/>
      <c r="B147" s="3"/>
      <c r="C147" s="3"/>
      <c r="D147" s="3"/>
      <c r="E147" s="3"/>
      <c r="F147" s="34"/>
      <c r="G147" s="34"/>
      <c r="H147" s="34"/>
      <c r="I147" s="34"/>
      <c r="J147" s="34"/>
      <c r="K147" s="34"/>
      <c r="L147" s="34"/>
      <c r="M147" s="34"/>
      <c r="N147" s="34"/>
      <c r="O147" s="34"/>
      <c r="P147" s="34"/>
      <c r="Q147" s="34"/>
      <c r="R147" s="34"/>
      <c r="S147" s="34"/>
      <c r="T147" s="34"/>
      <c r="U147" s="34"/>
      <c r="V147" s="34"/>
      <c r="W147" s="34"/>
      <c r="X147" s="34"/>
      <c r="Y147" s="34"/>
      <c r="Z147" s="34"/>
      <c r="AA147" s="34"/>
      <c r="AB147" s="34"/>
      <c r="AC147" s="34"/>
      <c r="AD147" s="34"/>
      <c r="AE147" s="34"/>
      <c r="AF147" s="34"/>
      <c r="AG147" s="34"/>
      <c r="AH147" s="34"/>
      <c r="AI147" s="34"/>
      <c r="AJ147" s="34"/>
      <c r="AK147" s="34"/>
    </row>
    <row r="148" spans="1:37">
      <c r="A148" s="3"/>
      <c r="B148" s="3"/>
      <c r="C148" s="3"/>
      <c r="D148" s="3"/>
      <c r="E148" s="3"/>
      <c r="F148" s="34"/>
      <c r="G148" s="34"/>
      <c r="H148" s="34"/>
      <c r="I148" s="34"/>
      <c r="J148" s="34"/>
      <c r="K148" s="34"/>
      <c r="L148" s="34"/>
      <c r="M148" s="34"/>
      <c r="N148" s="34"/>
      <c r="O148" s="34"/>
      <c r="P148" s="34"/>
      <c r="Q148" s="34"/>
      <c r="R148" s="34"/>
      <c r="S148" s="34"/>
      <c r="T148" s="34"/>
      <c r="U148" s="34"/>
      <c r="V148" s="34"/>
      <c r="W148" s="34"/>
      <c r="X148" s="34"/>
      <c r="Y148" s="34"/>
      <c r="Z148" s="34"/>
      <c r="AA148" s="34"/>
      <c r="AB148" s="34"/>
      <c r="AC148" s="34"/>
      <c r="AD148" s="34"/>
      <c r="AE148" s="34"/>
      <c r="AF148" s="34"/>
      <c r="AG148" s="34"/>
      <c r="AH148" s="34"/>
      <c r="AI148" s="34"/>
      <c r="AJ148" s="34"/>
      <c r="AK148" s="34"/>
    </row>
    <row r="149" spans="1:37">
      <c r="A149" s="3"/>
      <c r="B149" s="3"/>
      <c r="C149" s="3"/>
      <c r="D149" s="3"/>
      <c r="E149" s="3"/>
      <c r="F149" s="34"/>
      <c r="G149" s="34"/>
      <c r="H149" s="34"/>
      <c r="I149" s="34"/>
      <c r="J149" s="34"/>
      <c r="K149" s="34"/>
      <c r="L149" s="34"/>
      <c r="M149" s="34"/>
      <c r="N149" s="34"/>
      <c r="O149" s="34"/>
      <c r="P149" s="34"/>
      <c r="Q149" s="34"/>
      <c r="R149" s="34"/>
      <c r="S149" s="34"/>
      <c r="T149" s="34"/>
      <c r="U149" s="34"/>
      <c r="V149" s="34"/>
      <c r="W149" s="34"/>
      <c r="X149" s="34"/>
      <c r="Y149" s="34"/>
      <c r="Z149" s="34"/>
      <c r="AA149" s="34"/>
      <c r="AB149" s="34"/>
      <c r="AC149" s="34"/>
      <c r="AD149" s="34"/>
      <c r="AE149" s="34"/>
      <c r="AF149" s="34"/>
      <c r="AG149" s="34"/>
      <c r="AH149" s="34"/>
      <c r="AI149" s="34"/>
      <c r="AJ149" s="34"/>
      <c r="AK149" s="34"/>
    </row>
    <row r="150" spans="1:37">
      <c r="A150" s="3"/>
      <c r="B150" s="3"/>
      <c r="C150" s="3"/>
      <c r="D150" s="3"/>
      <c r="E150" s="3"/>
      <c r="F150" s="34"/>
      <c r="G150" s="34"/>
      <c r="H150" s="34"/>
      <c r="I150" s="34"/>
      <c r="J150" s="34"/>
      <c r="K150" s="34"/>
      <c r="L150" s="34"/>
      <c r="M150" s="34"/>
      <c r="N150" s="34"/>
      <c r="O150" s="34"/>
      <c r="P150" s="34"/>
      <c r="Q150" s="34"/>
      <c r="R150" s="34"/>
      <c r="S150" s="34"/>
      <c r="T150" s="34"/>
      <c r="U150" s="34"/>
      <c r="V150" s="34"/>
      <c r="W150" s="34"/>
      <c r="X150" s="34"/>
      <c r="Y150" s="34"/>
      <c r="Z150" s="34"/>
      <c r="AA150" s="34"/>
      <c r="AB150" s="34"/>
      <c r="AC150" s="34"/>
      <c r="AD150" s="34"/>
      <c r="AE150" s="34"/>
      <c r="AF150" s="34"/>
      <c r="AG150" s="34"/>
      <c r="AH150" s="34"/>
      <c r="AI150" s="34"/>
      <c r="AJ150" s="34"/>
      <c r="AK150" s="34"/>
    </row>
    <row r="151" spans="1:37">
      <c r="A151" s="3"/>
      <c r="B151" s="3"/>
      <c r="C151" s="3"/>
      <c r="D151" s="3"/>
      <c r="E151" s="3"/>
      <c r="F151" s="34"/>
      <c r="G151" s="34"/>
      <c r="H151" s="34"/>
      <c r="I151" s="34"/>
      <c r="J151" s="34"/>
      <c r="K151" s="34"/>
      <c r="L151" s="34"/>
      <c r="M151" s="34"/>
      <c r="N151" s="34"/>
      <c r="O151" s="34"/>
      <c r="P151" s="34"/>
      <c r="Q151" s="34"/>
      <c r="R151" s="34"/>
      <c r="S151" s="34"/>
      <c r="T151" s="34"/>
      <c r="U151" s="34"/>
      <c r="V151" s="34"/>
      <c r="W151" s="34"/>
      <c r="X151" s="34"/>
      <c r="Y151" s="34"/>
      <c r="Z151" s="34"/>
      <c r="AA151" s="34"/>
      <c r="AB151" s="34"/>
      <c r="AC151" s="34"/>
      <c r="AD151" s="34"/>
      <c r="AE151" s="34"/>
      <c r="AF151" s="34"/>
      <c r="AG151" s="34"/>
      <c r="AH151" s="34"/>
      <c r="AI151" s="34"/>
      <c r="AJ151" s="34"/>
      <c r="AK151" s="34"/>
    </row>
    <row r="152" spans="1:37">
      <c r="A152" s="3"/>
      <c r="B152" s="3"/>
      <c r="C152" s="3"/>
      <c r="D152" s="3"/>
      <c r="E152" s="3"/>
      <c r="F152" s="34"/>
      <c r="G152" s="34"/>
      <c r="H152" s="34"/>
      <c r="I152" s="34"/>
      <c r="J152" s="34"/>
      <c r="K152" s="34"/>
      <c r="L152" s="34"/>
      <c r="M152" s="34"/>
      <c r="N152" s="34"/>
      <c r="O152" s="34"/>
      <c r="P152" s="34"/>
      <c r="Q152" s="34"/>
      <c r="R152" s="34"/>
      <c r="S152" s="34"/>
      <c r="T152" s="34"/>
      <c r="U152" s="34"/>
      <c r="V152" s="34"/>
      <c r="W152" s="34"/>
      <c r="X152" s="34"/>
      <c r="Y152" s="34"/>
      <c r="Z152" s="34"/>
      <c r="AA152" s="34"/>
      <c r="AB152" s="34"/>
      <c r="AC152" s="34"/>
      <c r="AD152" s="34"/>
      <c r="AE152" s="34"/>
      <c r="AF152" s="34"/>
      <c r="AG152" s="34"/>
      <c r="AH152" s="34"/>
      <c r="AI152" s="34"/>
      <c r="AJ152" s="34"/>
      <c r="AK152" s="34"/>
    </row>
    <row r="153" spans="1:37">
      <c r="A153" s="3"/>
      <c r="B153" s="3"/>
      <c r="C153" s="3"/>
      <c r="D153" s="3"/>
      <c r="E153" s="3"/>
      <c r="F153" s="34"/>
      <c r="G153" s="34"/>
      <c r="H153" s="34"/>
      <c r="I153" s="34"/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4"/>
      <c r="V153" s="34"/>
      <c r="W153" s="34"/>
      <c r="X153" s="34"/>
      <c r="Y153" s="34"/>
      <c r="Z153" s="34"/>
      <c r="AA153" s="34"/>
      <c r="AB153" s="34"/>
      <c r="AC153" s="34"/>
      <c r="AD153" s="34"/>
      <c r="AE153" s="34"/>
      <c r="AF153" s="34"/>
      <c r="AG153" s="34"/>
      <c r="AH153" s="34"/>
      <c r="AI153" s="34"/>
      <c r="AJ153" s="34"/>
      <c r="AK153" s="34"/>
    </row>
    <row r="154" spans="1:37">
      <c r="A154" s="3"/>
      <c r="B154" s="3"/>
      <c r="C154" s="3"/>
      <c r="D154" s="3"/>
      <c r="E154" s="3"/>
      <c r="F154" s="34"/>
      <c r="G154" s="34"/>
      <c r="H154" s="34"/>
      <c r="I154" s="34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4"/>
      <c r="X154" s="34"/>
      <c r="Y154" s="34"/>
      <c r="Z154" s="34"/>
      <c r="AA154" s="34"/>
      <c r="AB154" s="34"/>
      <c r="AC154" s="34"/>
      <c r="AD154" s="34"/>
      <c r="AE154" s="34"/>
      <c r="AF154" s="34"/>
      <c r="AG154" s="34"/>
      <c r="AH154" s="34"/>
      <c r="AI154" s="34"/>
      <c r="AJ154" s="34"/>
      <c r="AK154" s="34"/>
    </row>
    <row r="155" spans="1:37">
      <c r="A155" s="3"/>
      <c r="B155" s="3"/>
      <c r="C155" s="3"/>
      <c r="D155" s="3"/>
      <c r="E155" s="3"/>
      <c r="F155" s="34"/>
      <c r="G155" s="34"/>
      <c r="H155" s="34"/>
      <c r="I155" s="34"/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4"/>
      <c r="V155" s="34"/>
      <c r="W155" s="34"/>
      <c r="X155" s="34"/>
      <c r="Y155" s="34"/>
      <c r="Z155" s="34"/>
      <c r="AA155" s="34"/>
      <c r="AB155" s="34"/>
      <c r="AC155" s="34"/>
      <c r="AD155" s="34"/>
      <c r="AE155" s="34"/>
      <c r="AF155" s="34"/>
      <c r="AG155" s="34"/>
      <c r="AH155" s="34"/>
      <c r="AI155" s="34"/>
      <c r="AJ155" s="34"/>
      <c r="AK155" s="34"/>
    </row>
    <row r="156" spans="1:37">
      <c r="A156" s="3"/>
      <c r="B156" s="3"/>
      <c r="C156" s="3"/>
      <c r="D156" s="3"/>
      <c r="E156" s="3"/>
      <c r="F156" s="34"/>
      <c r="G156" s="34"/>
      <c r="H156" s="34"/>
      <c r="I156" s="34"/>
      <c r="J156" s="34"/>
      <c r="K156" s="34"/>
      <c r="L156" s="34"/>
      <c r="M156" s="34"/>
      <c r="N156" s="34"/>
      <c r="O156" s="34"/>
      <c r="P156" s="34"/>
      <c r="Q156" s="34"/>
      <c r="R156" s="34"/>
      <c r="S156" s="34"/>
      <c r="T156" s="34"/>
      <c r="U156" s="34"/>
      <c r="V156" s="34"/>
      <c r="W156" s="34"/>
      <c r="X156" s="34"/>
      <c r="Y156" s="34"/>
      <c r="Z156" s="34"/>
      <c r="AA156" s="34"/>
      <c r="AB156" s="34"/>
      <c r="AC156" s="34"/>
      <c r="AD156" s="34"/>
      <c r="AE156" s="34"/>
      <c r="AF156" s="34"/>
      <c r="AG156" s="34"/>
      <c r="AH156" s="34"/>
      <c r="AI156" s="34"/>
      <c r="AJ156" s="34"/>
      <c r="AK156" s="34"/>
    </row>
    <row r="157" spans="1:37">
      <c r="A157" s="3"/>
      <c r="B157" s="3"/>
      <c r="C157" s="3"/>
      <c r="D157" s="3"/>
      <c r="E157" s="3"/>
      <c r="F157" s="34"/>
      <c r="G157" s="34"/>
      <c r="H157" s="34"/>
      <c r="I157" s="34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34"/>
      <c r="Y157" s="34"/>
      <c r="Z157" s="34"/>
      <c r="AA157" s="34"/>
      <c r="AB157" s="34"/>
      <c r="AC157" s="34"/>
      <c r="AD157" s="34"/>
      <c r="AE157" s="34"/>
      <c r="AF157" s="34"/>
      <c r="AG157" s="34"/>
      <c r="AH157" s="34"/>
      <c r="AI157" s="34"/>
      <c r="AJ157" s="34"/>
      <c r="AK157" s="34"/>
    </row>
    <row r="158" spans="1:37">
      <c r="A158" s="3"/>
      <c r="B158" s="3"/>
      <c r="C158" s="3"/>
      <c r="D158" s="3"/>
      <c r="E158" s="3"/>
      <c r="F158" s="34"/>
      <c r="G158" s="34"/>
      <c r="H158" s="34"/>
      <c r="I158" s="34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  <c r="Z158" s="34"/>
      <c r="AA158" s="34"/>
      <c r="AB158" s="34"/>
      <c r="AC158" s="34"/>
      <c r="AD158" s="34"/>
      <c r="AE158" s="34"/>
      <c r="AF158" s="34"/>
      <c r="AG158" s="34"/>
      <c r="AH158" s="34"/>
      <c r="AI158" s="34"/>
      <c r="AJ158" s="34"/>
      <c r="AK158" s="34"/>
    </row>
    <row r="159" spans="1:37">
      <c r="A159" s="3"/>
      <c r="B159" s="3"/>
      <c r="C159" s="3"/>
      <c r="D159" s="3"/>
      <c r="E159" s="3"/>
      <c r="F159" s="34"/>
      <c r="G159" s="34"/>
      <c r="H159" s="34"/>
      <c r="I159" s="34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  <c r="AA159" s="34"/>
      <c r="AB159" s="34"/>
      <c r="AC159" s="34"/>
      <c r="AD159" s="34"/>
      <c r="AE159" s="34"/>
      <c r="AF159" s="34"/>
      <c r="AG159" s="34"/>
      <c r="AH159" s="34"/>
      <c r="AI159" s="34"/>
      <c r="AJ159" s="34"/>
      <c r="AK159" s="34"/>
    </row>
    <row r="160" spans="1:37">
      <c r="A160" s="3"/>
      <c r="B160" s="3"/>
      <c r="C160" s="3"/>
      <c r="D160" s="3"/>
      <c r="E160" s="3"/>
      <c r="F160" s="34"/>
      <c r="G160" s="34"/>
      <c r="H160" s="34"/>
      <c r="I160" s="34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4"/>
      <c r="AA160" s="34"/>
      <c r="AB160" s="34"/>
      <c r="AC160" s="34"/>
      <c r="AD160" s="34"/>
      <c r="AE160" s="34"/>
      <c r="AF160" s="34"/>
      <c r="AG160" s="34"/>
      <c r="AH160" s="34"/>
      <c r="AI160" s="34"/>
      <c r="AJ160" s="34"/>
      <c r="AK160" s="34"/>
    </row>
    <row r="161" spans="1:37">
      <c r="A161" s="3"/>
      <c r="B161" s="3"/>
      <c r="C161" s="3"/>
      <c r="D161" s="3"/>
      <c r="E161" s="3"/>
      <c r="F161" s="34"/>
      <c r="G161" s="34"/>
      <c r="H161" s="34"/>
      <c r="I161" s="34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4"/>
      <c r="V161" s="34"/>
      <c r="W161" s="34"/>
      <c r="X161" s="34"/>
      <c r="Y161" s="34"/>
      <c r="Z161" s="34"/>
      <c r="AA161" s="34"/>
      <c r="AB161" s="34"/>
      <c r="AC161" s="34"/>
      <c r="AD161" s="34"/>
      <c r="AE161" s="34"/>
      <c r="AF161" s="34"/>
      <c r="AG161" s="34"/>
      <c r="AH161" s="34"/>
      <c r="AI161" s="34"/>
      <c r="AJ161" s="34"/>
      <c r="AK161" s="34"/>
    </row>
    <row r="162" spans="1:37">
      <c r="A162" s="3"/>
      <c r="B162" s="3"/>
      <c r="C162" s="3"/>
      <c r="D162" s="3"/>
      <c r="E162" s="3"/>
      <c r="F162" s="34"/>
      <c r="G162" s="34"/>
      <c r="H162" s="34"/>
      <c r="I162" s="34"/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4"/>
      <c r="V162" s="34"/>
      <c r="W162" s="34"/>
      <c r="X162" s="34"/>
      <c r="Y162" s="34"/>
      <c r="Z162" s="34"/>
      <c r="AA162" s="34"/>
      <c r="AB162" s="34"/>
      <c r="AC162" s="34"/>
      <c r="AD162" s="34"/>
      <c r="AE162" s="34"/>
      <c r="AF162" s="34"/>
      <c r="AG162" s="34"/>
      <c r="AH162" s="34"/>
      <c r="AI162" s="34"/>
      <c r="AJ162" s="34"/>
      <c r="AK162" s="34"/>
    </row>
    <row r="163" spans="1:37">
      <c r="A163" s="3"/>
      <c r="B163" s="3"/>
      <c r="C163" s="3"/>
      <c r="D163" s="3"/>
      <c r="E163" s="3"/>
      <c r="F163" s="34"/>
      <c r="G163" s="34"/>
      <c r="H163" s="34"/>
      <c r="I163" s="34"/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4"/>
      <c r="V163" s="34"/>
      <c r="W163" s="34"/>
      <c r="X163" s="34"/>
      <c r="Y163" s="34"/>
      <c r="Z163" s="34"/>
      <c r="AA163" s="34"/>
      <c r="AB163" s="34"/>
      <c r="AC163" s="34"/>
      <c r="AD163" s="34"/>
      <c r="AE163" s="34"/>
      <c r="AF163" s="34"/>
      <c r="AG163" s="34"/>
      <c r="AH163" s="34"/>
      <c r="AI163" s="34"/>
      <c r="AJ163" s="34"/>
      <c r="AK163" s="34"/>
    </row>
    <row r="164" spans="1:37">
      <c r="A164" s="3"/>
      <c r="B164" s="3"/>
      <c r="C164" s="3"/>
      <c r="D164" s="3"/>
      <c r="E164" s="3"/>
      <c r="F164" s="34"/>
      <c r="G164" s="34"/>
      <c r="H164" s="34"/>
      <c r="I164" s="34"/>
      <c r="J164" s="34"/>
      <c r="K164" s="34"/>
      <c r="L164" s="34"/>
      <c r="M164" s="34"/>
      <c r="N164" s="34"/>
      <c r="O164" s="34"/>
      <c r="P164" s="34"/>
      <c r="Q164" s="34"/>
      <c r="R164" s="34"/>
      <c r="S164" s="34"/>
      <c r="T164" s="34"/>
      <c r="U164" s="34"/>
      <c r="V164" s="34"/>
      <c r="W164" s="34"/>
      <c r="X164" s="34"/>
      <c r="Y164" s="34"/>
      <c r="Z164" s="34"/>
      <c r="AA164" s="34"/>
      <c r="AB164" s="34"/>
      <c r="AC164" s="34"/>
      <c r="AD164" s="34"/>
      <c r="AE164" s="34"/>
      <c r="AF164" s="34"/>
      <c r="AG164" s="34"/>
      <c r="AH164" s="34"/>
      <c r="AI164" s="34"/>
      <c r="AJ164" s="34"/>
      <c r="AK164" s="34"/>
    </row>
    <row r="165" spans="1:37">
      <c r="A165" s="3"/>
      <c r="B165" s="3"/>
      <c r="C165" s="3"/>
      <c r="D165" s="3"/>
      <c r="E165" s="3"/>
      <c r="F165" s="34"/>
      <c r="G165" s="34"/>
      <c r="H165" s="34"/>
      <c r="I165" s="34"/>
      <c r="J165" s="34"/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U165" s="34"/>
      <c r="V165" s="34"/>
      <c r="W165" s="34"/>
      <c r="X165" s="34"/>
      <c r="Y165" s="34"/>
      <c r="Z165" s="34"/>
      <c r="AA165" s="34"/>
      <c r="AB165" s="34"/>
      <c r="AC165" s="34"/>
      <c r="AD165" s="34"/>
      <c r="AE165" s="34"/>
      <c r="AF165" s="34"/>
      <c r="AG165" s="34"/>
      <c r="AH165" s="34"/>
      <c r="AI165" s="34"/>
      <c r="AJ165" s="34"/>
      <c r="AK165" s="34"/>
    </row>
    <row r="166" spans="1:37">
      <c r="A166" s="3"/>
      <c r="B166" s="3"/>
      <c r="C166" s="3"/>
      <c r="D166" s="3"/>
      <c r="E166" s="3"/>
      <c r="F166" s="34"/>
      <c r="G166" s="34"/>
      <c r="H166" s="34"/>
      <c r="I166" s="34"/>
      <c r="J166" s="34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4"/>
      <c r="Z166" s="34"/>
      <c r="AA166" s="34"/>
      <c r="AB166" s="34"/>
      <c r="AC166" s="34"/>
      <c r="AD166" s="34"/>
      <c r="AE166" s="34"/>
      <c r="AF166" s="34"/>
      <c r="AG166" s="34"/>
      <c r="AH166" s="34"/>
      <c r="AI166" s="34"/>
      <c r="AJ166" s="34"/>
      <c r="AK166" s="34"/>
    </row>
    <row r="167" spans="1:37">
      <c r="A167" s="3"/>
      <c r="B167" s="3"/>
      <c r="C167" s="3"/>
      <c r="D167" s="3"/>
      <c r="E167" s="3"/>
      <c r="F167" s="34"/>
      <c r="G167" s="34"/>
      <c r="H167" s="34"/>
      <c r="I167" s="34"/>
      <c r="J167" s="34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U167" s="34"/>
      <c r="V167" s="34"/>
      <c r="W167" s="34"/>
      <c r="X167" s="34"/>
      <c r="Y167" s="34"/>
      <c r="Z167" s="34"/>
      <c r="AA167" s="34"/>
      <c r="AB167" s="34"/>
      <c r="AC167" s="34"/>
      <c r="AD167" s="34"/>
      <c r="AE167" s="34"/>
      <c r="AF167" s="34"/>
      <c r="AG167" s="34"/>
      <c r="AH167" s="34"/>
      <c r="AI167" s="34"/>
      <c r="AJ167" s="34"/>
      <c r="AK167" s="34"/>
    </row>
    <row r="168" spans="1:37">
      <c r="A168" s="3"/>
      <c r="B168" s="3"/>
      <c r="C168" s="3"/>
      <c r="D168" s="3"/>
      <c r="E168" s="3"/>
      <c r="F168" s="34"/>
      <c r="G168" s="34"/>
      <c r="H168" s="34"/>
      <c r="I168" s="34"/>
      <c r="J168" s="34"/>
      <c r="K168" s="34"/>
      <c r="L168" s="34"/>
      <c r="M168" s="34"/>
      <c r="N168" s="34"/>
      <c r="O168" s="34"/>
      <c r="P168" s="34"/>
      <c r="Q168" s="34"/>
      <c r="R168" s="34"/>
      <c r="S168" s="34"/>
      <c r="T168" s="34"/>
      <c r="U168" s="34"/>
      <c r="V168" s="34"/>
      <c r="W168" s="34"/>
      <c r="X168" s="34"/>
      <c r="Y168" s="34"/>
      <c r="Z168" s="34"/>
      <c r="AA168" s="34"/>
      <c r="AB168" s="34"/>
      <c r="AC168" s="34"/>
      <c r="AD168" s="34"/>
      <c r="AE168" s="34"/>
      <c r="AF168" s="34"/>
      <c r="AG168" s="34"/>
      <c r="AH168" s="34"/>
      <c r="AI168" s="34"/>
      <c r="AJ168" s="34"/>
      <c r="AK168" s="34"/>
    </row>
    <row r="169" spans="1:37">
      <c r="A169" s="3"/>
      <c r="B169" s="3"/>
      <c r="C169" s="3"/>
      <c r="D169" s="3"/>
      <c r="E169" s="3"/>
      <c r="F169" s="34"/>
      <c r="G169" s="34"/>
      <c r="H169" s="34"/>
      <c r="I169" s="34"/>
      <c r="J169" s="34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34"/>
      <c r="Z169" s="34"/>
      <c r="AA169" s="34"/>
      <c r="AB169" s="34"/>
      <c r="AC169" s="34"/>
      <c r="AD169" s="34"/>
      <c r="AE169" s="34"/>
      <c r="AF169" s="34"/>
      <c r="AG169" s="34"/>
      <c r="AH169" s="34"/>
      <c r="AI169" s="34"/>
      <c r="AJ169" s="34"/>
      <c r="AK169" s="34"/>
    </row>
    <row r="170" spans="1:37">
      <c r="A170" s="3"/>
      <c r="B170" s="3"/>
      <c r="C170" s="3"/>
      <c r="D170" s="3"/>
      <c r="E170" s="3"/>
      <c r="F170" s="34"/>
      <c r="G170" s="34"/>
      <c r="H170" s="34"/>
      <c r="I170" s="34"/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34"/>
      <c r="Z170" s="34"/>
      <c r="AA170" s="34"/>
      <c r="AB170" s="34"/>
      <c r="AC170" s="34"/>
      <c r="AD170" s="34"/>
      <c r="AE170" s="34"/>
      <c r="AF170" s="34"/>
      <c r="AG170" s="34"/>
      <c r="AH170" s="34"/>
      <c r="AI170" s="34"/>
      <c r="AJ170" s="34"/>
      <c r="AK170" s="34"/>
    </row>
    <row r="171" spans="1:37">
      <c r="A171" s="3"/>
      <c r="B171" s="3"/>
      <c r="C171" s="3"/>
      <c r="D171" s="3"/>
      <c r="E171" s="3"/>
      <c r="F171" s="34"/>
      <c r="G171" s="34"/>
      <c r="H171" s="34"/>
      <c r="I171" s="34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4"/>
      <c r="X171" s="34"/>
      <c r="Y171" s="34"/>
      <c r="Z171" s="34"/>
      <c r="AA171" s="34"/>
      <c r="AB171" s="34"/>
      <c r="AC171" s="34"/>
      <c r="AD171" s="34"/>
      <c r="AE171" s="34"/>
      <c r="AF171" s="34"/>
      <c r="AG171" s="34"/>
      <c r="AH171" s="34"/>
      <c r="AI171" s="34"/>
      <c r="AJ171" s="34"/>
      <c r="AK171" s="34"/>
    </row>
    <row r="172" spans="1:37">
      <c r="A172" s="3"/>
      <c r="B172" s="3"/>
      <c r="C172" s="3"/>
      <c r="D172" s="3"/>
      <c r="E172" s="3"/>
      <c r="F172" s="34"/>
      <c r="G172" s="34"/>
      <c r="H172" s="34"/>
      <c r="I172" s="34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4"/>
      <c r="V172" s="34"/>
      <c r="W172" s="34"/>
      <c r="X172" s="34"/>
      <c r="Y172" s="34"/>
      <c r="Z172" s="34"/>
      <c r="AA172" s="34"/>
      <c r="AB172" s="34"/>
      <c r="AC172" s="34"/>
      <c r="AD172" s="34"/>
      <c r="AE172" s="34"/>
      <c r="AF172" s="34"/>
      <c r="AG172" s="34"/>
      <c r="AH172" s="34"/>
      <c r="AI172" s="34"/>
      <c r="AJ172" s="34"/>
      <c r="AK172" s="34"/>
    </row>
    <row r="173" spans="1:37">
      <c r="A173" s="3"/>
      <c r="B173" s="3"/>
      <c r="C173" s="3"/>
      <c r="D173" s="3"/>
      <c r="E173" s="3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  <c r="AA173" s="34"/>
      <c r="AB173" s="34"/>
      <c r="AC173" s="34"/>
      <c r="AD173" s="34"/>
      <c r="AE173" s="34"/>
      <c r="AF173" s="34"/>
      <c r="AG173" s="34"/>
      <c r="AH173" s="34"/>
      <c r="AI173" s="34"/>
      <c r="AJ173" s="34"/>
      <c r="AK173" s="34"/>
    </row>
    <row r="174" spans="1:37">
      <c r="A174" s="3"/>
      <c r="B174" s="3"/>
      <c r="C174" s="3"/>
      <c r="D174" s="3"/>
      <c r="E174" s="3"/>
      <c r="F174" s="34"/>
      <c r="G174" s="34"/>
      <c r="H174" s="34"/>
      <c r="I174" s="34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  <c r="X174" s="34"/>
      <c r="Y174" s="34"/>
      <c r="Z174" s="34"/>
      <c r="AA174" s="34"/>
      <c r="AB174" s="34"/>
      <c r="AC174" s="34"/>
      <c r="AD174" s="34"/>
      <c r="AE174" s="34"/>
      <c r="AF174" s="34"/>
      <c r="AG174" s="34"/>
      <c r="AH174" s="34"/>
      <c r="AI174" s="34"/>
      <c r="AJ174" s="34"/>
      <c r="AK174" s="34"/>
    </row>
    <row r="175" spans="1:37">
      <c r="A175" s="3"/>
      <c r="B175" s="3"/>
      <c r="C175" s="3"/>
      <c r="D175" s="3"/>
      <c r="E175" s="3"/>
      <c r="F175" s="34"/>
      <c r="G175" s="34"/>
      <c r="H175" s="34"/>
      <c r="I175" s="34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  <c r="X175" s="34"/>
      <c r="Y175" s="34"/>
      <c r="Z175" s="34"/>
      <c r="AA175" s="34"/>
      <c r="AB175" s="34"/>
      <c r="AC175" s="34"/>
      <c r="AD175" s="34"/>
      <c r="AE175" s="34"/>
      <c r="AF175" s="34"/>
      <c r="AG175" s="34"/>
      <c r="AH175" s="34"/>
      <c r="AI175" s="34"/>
      <c r="AJ175" s="34"/>
      <c r="AK175" s="34"/>
    </row>
    <row r="176" spans="1:37">
      <c r="A176" s="3"/>
      <c r="B176" s="3"/>
      <c r="C176" s="3"/>
      <c r="D176" s="3"/>
      <c r="E176" s="3"/>
      <c r="F176" s="34"/>
      <c r="G176" s="34"/>
      <c r="H176" s="34"/>
      <c r="I176" s="34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4"/>
      <c r="X176" s="34"/>
      <c r="Y176" s="34"/>
      <c r="Z176" s="34"/>
      <c r="AA176" s="34"/>
      <c r="AB176" s="34"/>
      <c r="AC176" s="34"/>
      <c r="AD176" s="34"/>
      <c r="AE176" s="34"/>
      <c r="AF176" s="34"/>
      <c r="AG176" s="34"/>
      <c r="AH176" s="34"/>
      <c r="AI176" s="34"/>
      <c r="AJ176" s="34"/>
      <c r="AK176" s="34"/>
    </row>
    <row r="177" spans="1:37">
      <c r="A177" s="3"/>
      <c r="B177" s="3"/>
      <c r="C177" s="3"/>
      <c r="D177" s="3"/>
      <c r="E177" s="3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34"/>
      <c r="AA177" s="34"/>
      <c r="AB177" s="34"/>
      <c r="AC177" s="34"/>
      <c r="AD177" s="34"/>
      <c r="AE177" s="34"/>
      <c r="AF177" s="34"/>
      <c r="AG177" s="34"/>
      <c r="AH177" s="34"/>
      <c r="AI177" s="34"/>
      <c r="AJ177" s="34"/>
      <c r="AK177" s="34"/>
    </row>
    <row r="178" spans="1:37">
      <c r="A178" s="3"/>
      <c r="B178" s="3"/>
      <c r="C178" s="3"/>
      <c r="D178" s="3"/>
      <c r="E178" s="3"/>
      <c r="F178" s="34"/>
      <c r="G178" s="34"/>
      <c r="H178" s="34"/>
      <c r="I178" s="34"/>
      <c r="J178" s="34"/>
      <c r="K178" s="34"/>
      <c r="L178" s="34"/>
      <c r="M178" s="34"/>
      <c r="N178" s="34"/>
      <c r="O178" s="34"/>
      <c r="P178" s="34"/>
      <c r="Q178" s="34"/>
      <c r="R178" s="34"/>
      <c r="S178" s="34"/>
      <c r="T178" s="34"/>
      <c r="U178" s="34"/>
      <c r="V178" s="34"/>
      <c r="W178" s="34"/>
      <c r="X178" s="34"/>
      <c r="Y178" s="34"/>
      <c r="Z178" s="34"/>
      <c r="AA178" s="34"/>
      <c r="AB178" s="34"/>
      <c r="AC178" s="34"/>
      <c r="AD178" s="34"/>
      <c r="AE178" s="34"/>
      <c r="AF178" s="34"/>
      <c r="AG178" s="34"/>
      <c r="AH178" s="34"/>
      <c r="AI178" s="34"/>
      <c r="AJ178" s="34"/>
      <c r="AK178" s="34"/>
    </row>
    <row r="179" spans="1:37">
      <c r="A179" s="3"/>
      <c r="B179" s="3"/>
      <c r="C179" s="3"/>
      <c r="D179" s="3"/>
      <c r="E179" s="3"/>
      <c r="F179" s="34"/>
      <c r="G179" s="34"/>
      <c r="H179" s="34"/>
      <c r="I179" s="34"/>
      <c r="J179" s="34"/>
      <c r="K179" s="34"/>
      <c r="L179" s="34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X179" s="34"/>
      <c r="Y179" s="34"/>
      <c r="Z179" s="34"/>
      <c r="AA179" s="34"/>
      <c r="AB179" s="34"/>
      <c r="AC179" s="34"/>
      <c r="AD179" s="34"/>
      <c r="AE179" s="34"/>
      <c r="AF179" s="34"/>
      <c r="AG179" s="34"/>
      <c r="AH179" s="34"/>
      <c r="AI179" s="34"/>
      <c r="AJ179" s="34"/>
      <c r="AK179" s="34"/>
    </row>
    <row r="180" spans="1:37">
      <c r="A180" s="3"/>
      <c r="B180" s="3"/>
      <c r="C180" s="3"/>
      <c r="D180" s="3"/>
      <c r="E180" s="3"/>
      <c r="F180" s="34"/>
      <c r="G180" s="34"/>
      <c r="H180" s="34"/>
      <c r="I180" s="34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4"/>
      <c r="X180" s="34"/>
      <c r="Y180" s="34"/>
      <c r="Z180" s="34"/>
      <c r="AA180" s="34"/>
      <c r="AB180" s="34"/>
      <c r="AC180" s="34"/>
      <c r="AD180" s="34"/>
      <c r="AE180" s="34"/>
      <c r="AF180" s="34"/>
      <c r="AG180" s="34"/>
      <c r="AH180" s="34"/>
      <c r="AI180" s="34"/>
      <c r="AJ180" s="34"/>
      <c r="AK180" s="34"/>
    </row>
    <row r="181" spans="1:37">
      <c r="A181" s="3"/>
      <c r="B181" s="3"/>
      <c r="C181" s="3"/>
      <c r="D181" s="3"/>
      <c r="E181" s="3"/>
      <c r="F181" s="34"/>
      <c r="G181" s="34"/>
      <c r="H181" s="34"/>
      <c r="I181" s="34"/>
      <c r="J181" s="34"/>
      <c r="K181" s="34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34"/>
      <c r="AA181" s="34"/>
      <c r="AB181" s="34"/>
      <c r="AC181" s="34"/>
      <c r="AD181" s="34"/>
      <c r="AE181" s="34"/>
      <c r="AF181" s="34"/>
      <c r="AG181" s="34"/>
      <c r="AH181" s="34"/>
      <c r="AI181" s="34"/>
      <c r="AJ181" s="34"/>
      <c r="AK181" s="34"/>
    </row>
    <row r="182" spans="1:37">
      <c r="A182" s="3"/>
      <c r="B182" s="3"/>
      <c r="C182" s="3"/>
      <c r="D182" s="3"/>
      <c r="E182" s="3"/>
      <c r="F182" s="34"/>
      <c r="G182" s="34"/>
      <c r="H182" s="34"/>
      <c r="I182" s="34"/>
      <c r="J182" s="34"/>
      <c r="K182" s="34"/>
      <c r="L182" s="34"/>
      <c r="M182" s="34"/>
      <c r="N182" s="34"/>
      <c r="O182" s="34"/>
      <c r="P182" s="34"/>
      <c r="Q182" s="34"/>
      <c r="R182" s="34"/>
      <c r="S182" s="34"/>
      <c r="T182" s="34"/>
      <c r="U182" s="34"/>
      <c r="V182" s="34"/>
      <c r="W182" s="34"/>
      <c r="X182" s="34"/>
      <c r="Y182" s="34"/>
      <c r="Z182" s="34"/>
      <c r="AA182" s="34"/>
      <c r="AB182" s="34"/>
      <c r="AC182" s="34"/>
      <c r="AD182" s="34"/>
      <c r="AE182" s="34"/>
      <c r="AF182" s="34"/>
      <c r="AG182" s="34"/>
      <c r="AH182" s="34"/>
      <c r="AI182" s="34"/>
      <c r="AJ182" s="34"/>
      <c r="AK182" s="34"/>
    </row>
    <row r="183" spans="1:37">
      <c r="A183" s="3"/>
      <c r="B183" s="3"/>
      <c r="C183" s="3"/>
      <c r="D183" s="3"/>
      <c r="E183" s="3"/>
      <c r="F183" s="34"/>
      <c r="G183" s="34"/>
      <c r="H183" s="34"/>
      <c r="I183" s="34"/>
      <c r="J183" s="34"/>
      <c r="K183" s="34"/>
      <c r="L183" s="34"/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4"/>
      <c r="X183" s="34"/>
      <c r="Y183" s="34"/>
      <c r="Z183" s="34"/>
      <c r="AA183" s="34"/>
      <c r="AB183" s="34"/>
      <c r="AC183" s="34"/>
      <c r="AD183" s="34"/>
      <c r="AE183" s="34"/>
      <c r="AF183" s="34"/>
      <c r="AG183" s="34"/>
      <c r="AH183" s="34"/>
      <c r="AI183" s="34"/>
      <c r="AJ183" s="34"/>
      <c r="AK183" s="34"/>
    </row>
    <row r="184" spans="1:37">
      <c r="A184" s="3"/>
      <c r="B184" s="3"/>
      <c r="C184" s="3"/>
      <c r="D184" s="3"/>
      <c r="E184" s="3"/>
      <c r="F184" s="34"/>
      <c r="G184" s="34"/>
      <c r="H184" s="34"/>
      <c r="I184" s="34"/>
      <c r="J184" s="34"/>
      <c r="K184" s="34"/>
      <c r="L184" s="34"/>
      <c r="M184" s="34"/>
      <c r="N184" s="34"/>
      <c r="O184" s="34"/>
      <c r="P184" s="34"/>
      <c r="Q184" s="34"/>
      <c r="R184" s="34"/>
      <c r="S184" s="34"/>
      <c r="T184" s="34"/>
      <c r="U184" s="34"/>
      <c r="V184" s="34"/>
      <c r="W184" s="34"/>
      <c r="X184" s="34"/>
      <c r="Y184" s="34"/>
      <c r="Z184" s="34"/>
      <c r="AA184" s="34"/>
      <c r="AB184" s="34"/>
      <c r="AC184" s="34"/>
      <c r="AD184" s="34"/>
      <c r="AE184" s="34"/>
      <c r="AF184" s="34"/>
      <c r="AG184" s="34"/>
      <c r="AH184" s="34"/>
      <c r="AI184" s="34"/>
      <c r="AJ184" s="34"/>
      <c r="AK184" s="34"/>
    </row>
    <row r="185" spans="1:37">
      <c r="A185" s="3"/>
      <c r="B185" s="3"/>
      <c r="C185" s="3"/>
      <c r="D185" s="3"/>
      <c r="E185" s="3"/>
      <c r="F185" s="34"/>
      <c r="G185" s="34"/>
      <c r="H185" s="34"/>
      <c r="I185" s="34"/>
      <c r="J185" s="34"/>
      <c r="K185" s="34"/>
      <c r="L185" s="34"/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X185" s="34"/>
      <c r="Y185" s="34"/>
      <c r="Z185" s="34"/>
      <c r="AA185" s="34"/>
      <c r="AB185" s="34"/>
      <c r="AC185" s="34"/>
      <c r="AD185" s="34"/>
      <c r="AE185" s="34"/>
      <c r="AF185" s="34"/>
      <c r="AG185" s="34"/>
      <c r="AH185" s="34"/>
      <c r="AI185" s="34"/>
      <c r="AJ185" s="34"/>
      <c r="AK185" s="34"/>
    </row>
    <row r="186" spans="1:37">
      <c r="A186" s="3"/>
      <c r="B186" s="3"/>
      <c r="C186" s="3"/>
      <c r="D186" s="3"/>
      <c r="E186" s="3"/>
      <c r="F186" s="34"/>
      <c r="G186" s="34"/>
      <c r="H186" s="34"/>
      <c r="I186" s="34"/>
      <c r="J186" s="34"/>
      <c r="K186" s="34"/>
      <c r="L186" s="34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34"/>
      <c r="Z186" s="34"/>
      <c r="AA186" s="34"/>
      <c r="AB186" s="34"/>
      <c r="AC186" s="34"/>
      <c r="AD186" s="34"/>
      <c r="AE186" s="34"/>
      <c r="AF186" s="34"/>
      <c r="AG186" s="34"/>
      <c r="AH186" s="34"/>
      <c r="AI186" s="34"/>
      <c r="AJ186" s="34"/>
      <c r="AK186" s="34"/>
    </row>
    <row r="187" spans="1:37">
      <c r="A187" s="3"/>
      <c r="B187" s="3"/>
      <c r="C187" s="3"/>
      <c r="D187" s="3"/>
      <c r="E187" s="3"/>
      <c r="F187" s="34"/>
      <c r="G187" s="34"/>
      <c r="H187" s="34"/>
      <c r="I187" s="34"/>
      <c r="J187" s="34"/>
      <c r="K187" s="34"/>
      <c r="L187" s="34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34"/>
      <c r="Y187" s="34"/>
      <c r="Z187" s="34"/>
      <c r="AA187" s="34"/>
      <c r="AB187" s="34"/>
      <c r="AC187" s="34"/>
      <c r="AD187" s="34"/>
      <c r="AE187" s="34"/>
      <c r="AF187" s="34"/>
      <c r="AG187" s="34"/>
      <c r="AH187" s="34"/>
      <c r="AI187" s="34"/>
      <c r="AJ187" s="34"/>
      <c r="AK187" s="34"/>
    </row>
    <row r="188" spans="1:37">
      <c r="A188" s="3"/>
      <c r="B188" s="3"/>
      <c r="C188" s="3"/>
      <c r="D188" s="3"/>
      <c r="E188" s="3"/>
      <c r="F188" s="34"/>
      <c r="G188" s="34"/>
      <c r="H188" s="34"/>
      <c r="I188" s="34"/>
      <c r="J188" s="34"/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34"/>
      <c r="Y188" s="34"/>
      <c r="Z188" s="34"/>
      <c r="AA188" s="34"/>
      <c r="AB188" s="34"/>
      <c r="AC188" s="34"/>
      <c r="AD188" s="34"/>
      <c r="AE188" s="34"/>
      <c r="AF188" s="34"/>
      <c r="AG188" s="34"/>
      <c r="AH188" s="34"/>
      <c r="AI188" s="34"/>
      <c r="AJ188" s="34"/>
      <c r="AK188" s="34"/>
    </row>
    <row r="189" spans="1:37">
      <c r="A189" s="3"/>
      <c r="B189" s="3"/>
      <c r="C189" s="3"/>
      <c r="D189" s="3"/>
      <c r="E189" s="3"/>
      <c r="F189" s="34"/>
      <c r="G189" s="34"/>
      <c r="H189" s="34"/>
      <c r="I189" s="34"/>
      <c r="J189" s="34"/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  <c r="Y189" s="34"/>
      <c r="Z189" s="34"/>
      <c r="AA189" s="34"/>
      <c r="AB189" s="34"/>
      <c r="AC189" s="34"/>
      <c r="AD189" s="34"/>
      <c r="AE189" s="34"/>
      <c r="AF189" s="34"/>
      <c r="AG189" s="34"/>
      <c r="AH189" s="34"/>
      <c r="AI189" s="34"/>
      <c r="AJ189" s="34"/>
      <c r="AK189" s="34"/>
    </row>
    <row r="190" spans="1:37">
      <c r="A190" s="3"/>
      <c r="B190" s="3"/>
      <c r="C190" s="3"/>
      <c r="D190" s="3"/>
      <c r="E190" s="3"/>
      <c r="F190" s="34"/>
      <c r="G190" s="34"/>
      <c r="H190" s="34"/>
      <c r="I190" s="34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4"/>
      <c r="Z190" s="34"/>
      <c r="AA190" s="34"/>
      <c r="AB190" s="34"/>
      <c r="AC190" s="34"/>
      <c r="AD190" s="34"/>
      <c r="AE190" s="34"/>
      <c r="AF190" s="34"/>
      <c r="AG190" s="34"/>
      <c r="AH190" s="34"/>
      <c r="AI190" s="34"/>
      <c r="AJ190" s="34"/>
      <c r="AK190" s="34"/>
    </row>
    <row r="191" spans="1:37">
      <c r="A191" s="3"/>
      <c r="B191" s="3"/>
      <c r="C191" s="3"/>
      <c r="D191" s="3"/>
      <c r="E191" s="3"/>
      <c r="F191" s="34"/>
      <c r="G191" s="34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34"/>
      <c r="AA191" s="34"/>
      <c r="AB191" s="34"/>
      <c r="AC191" s="34"/>
      <c r="AD191" s="34"/>
      <c r="AE191" s="34"/>
      <c r="AF191" s="34"/>
      <c r="AG191" s="34"/>
      <c r="AH191" s="34"/>
      <c r="AI191" s="34"/>
      <c r="AJ191" s="34"/>
      <c r="AK191" s="34"/>
    </row>
    <row r="192" spans="1:37">
      <c r="A192" s="3"/>
      <c r="B192" s="3"/>
      <c r="C192" s="3"/>
      <c r="D192" s="3"/>
      <c r="E192" s="3"/>
      <c r="F192" s="34"/>
      <c r="G192" s="34"/>
      <c r="H192" s="34"/>
      <c r="I192" s="34"/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34"/>
      <c r="Y192" s="34"/>
      <c r="Z192" s="34"/>
      <c r="AA192" s="34"/>
      <c r="AB192" s="34"/>
      <c r="AC192" s="34"/>
      <c r="AD192" s="34"/>
      <c r="AE192" s="34"/>
      <c r="AF192" s="34"/>
      <c r="AG192" s="34"/>
      <c r="AH192" s="34"/>
      <c r="AI192" s="34"/>
      <c r="AJ192" s="34"/>
      <c r="AK192" s="34"/>
    </row>
    <row r="193" spans="1:37">
      <c r="A193" s="3"/>
      <c r="B193" s="3"/>
      <c r="C193" s="3"/>
      <c r="D193" s="3"/>
      <c r="E193" s="3"/>
      <c r="F193" s="34"/>
      <c r="G193" s="34"/>
      <c r="H193" s="34"/>
      <c r="I193" s="34"/>
      <c r="J193" s="34"/>
      <c r="K193" s="34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4"/>
      <c r="Z193" s="34"/>
      <c r="AA193" s="34"/>
      <c r="AB193" s="34"/>
      <c r="AC193" s="34"/>
      <c r="AD193" s="34"/>
      <c r="AE193" s="34"/>
      <c r="AF193" s="34"/>
      <c r="AG193" s="34"/>
      <c r="AH193" s="34"/>
      <c r="AI193" s="34"/>
      <c r="AJ193" s="34"/>
      <c r="AK193" s="34"/>
    </row>
    <row r="194" spans="1:37">
      <c r="A194" s="3"/>
      <c r="B194" s="3"/>
      <c r="C194" s="3"/>
      <c r="D194" s="3"/>
      <c r="E194" s="3"/>
      <c r="F194" s="34"/>
      <c r="G194" s="34"/>
      <c r="H194" s="34"/>
      <c r="I194" s="34"/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4"/>
      <c r="AA194" s="34"/>
      <c r="AB194" s="34"/>
      <c r="AC194" s="34"/>
      <c r="AD194" s="34"/>
      <c r="AE194" s="34"/>
      <c r="AF194" s="34"/>
      <c r="AG194" s="34"/>
      <c r="AH194" s="34"/>
      <c r="AI194" s="34"/>
      <c r="AJ194" s="34"/>
      <c r="AK194" s="34"/>
    </row>
    <row r="195" spans="1:37">
      <c r="A195" s="3"/>
      <c r="B195" s="3"/>
      <c r="C195" s="3"/>
      <c r="D195" s="3"/>
      <c r="E195" s="3"/>
      <c r="F195" s="34"/>
      <c r="G195" s="34"/>
      <c r="H195" s="34"/>
      <c r="I195" s="34"/>
      <c r="J195" s="34"/>
      <c r="K195" s="34"/>
      <c r="L195" s="34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34"/>
      <c r="Z195" s="34"/>
      <c r="AA195" s="34"/>
      <c r="AB195" s="34"/>
      <c r="AC195" s="34"/>
      <c r="AD195" s="34"/>
      <c r="AE195" s="34"/>
      <c r="AF195" s="34"/>
      <c r="AG195" s="34"/>
      <c r="AH195" s="34"/>
      <c r="AI195" s="34"/>
      <c r="AJ195" s="34"/>
      <c r="AK195" s="34"/>
    </row>
    <row r="196" spans="1:37">
      <c r="A196" s="3"/>
      <c r="B196" s="3"/>
      <c r="C196" s="3"/>
      <c r="D196" s="3"/>
      <c r="E196" s="3"/>
      <c r="F196" s="34"/>
      <c r="G196" s="34"/>
      <c r="H196" s="34"/>
      <c r="I196" s="34"/>
      <c r="J196" s="34"/>
      <c r="K196" s="34"/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  <c r="Y196" s="34"/>
      <c r="Z196" s="34"/>
      <c r="AA196" s="34"/>
      <c r="AB196" s="34"/>
      <c r="AC196" s="34"/>
      <c r="AD196" s="34"/>
      <c r="AE196" s="34"/>
      <c r="AF196" s="34"/>
      <c r="AG196" s="34"/>
      <c r="AH196" s="34"/>
      <c r="AI196" s="34"/>
      <c r="AJ196" s="34"/>
      <c r="AK196" s="34"/>
    </row>
    <row r="197" spans="1:37">
      <c r="A197" s="3"/>
      <c r="B197" s="3"/>
      <c r="C197" s="3"/>
      <c r="D197" s="3"/>
      <c r="E197" s="3"/>
      <c r="F197" s="34"/>
      <c r="G197" s="34"/>
      <c r="H197" s="34"/>
      <c r="I197" s="34"/>
      <c r="J197" s="34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  <c r="Z197" s="34"/>
      <c r="AA197" s="34"/>
      <c r="AB197" s="34"/>
      <c r="AC197" s="34"/>
      <c r="AD197" s="34"/>
      <c r="AE197" s="34"/>
      <c r="AF197" s="34"/>
      <c r="AG197" s="34"/>
      <c r="AH197" s="34"/>
      <c r="AI197" s="34"/>
      <c r="AJ197" s="34"/>
      <c r="AK197" s="34"/>
    </row>
    <row r="198" spans="1:37">
      <c r="A198" s="3"/>
      <c r="B198" s="3"/>
      <c r="C198" s="3"/>
      <c r="D198" s="3"/>
      <c r="E198" s="3"/>
      <c r="F198" s="34"/>
      <c r="G198" s="34"/>
      <c r="H198" s="34"/>
      <c r="I198" s="34"/>
      <c r="J198" s="34"/>
      <c r="K198" s="34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  <c r="Y198" s="34"/>
      <c r="Z198" s="34"/>
      <c r="AA198" s="34"/>
      <c r="AB198" s="34"/>
      <c r="AC198" s="34"/>
      <c r="AD198" s="34"/>
      <c r="AE198" s="34"/>
      <c r="AF198" s="34"/>
      <c r="AG198" s="34"/>
      <c r="AH198" s="34"/>
      <c r="AI198" s="34"/>
      <c r="AJ198" s="34"/>
      <c r="AK198" s="34"/>
    </row>
    <row r="199" spans="1:37">
      <c r="A199" s="3"/>
      <c r="B199" s="3"/>
      <c r="C199" s="3"/>
      <c r="D199" s="3"/>
      <c r="E199" s="3"/>
      <c r="F199" s="34"/>
      <c r="G199" s="34"/>
      <c r="H199" s="34"/>
      <c r="I199" s="34"/>
      <c r="J199" s="34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34"/>
      <c r="AA199" s="34"/>
      <c r="AB199" s="34"/>
      <c r="AC199" s="34"/>
      <c r="AD199" s="34"/>
      <c r="AE199" s="34"/>
      <c r="AF199" s="34"/>
      <c r="AG199" s="34"/>
      <c r="AH199" s="34"/>
      <c r="AI199" s="34"/>
      <c r="AJ199" s="34"/>
      <c r="AK199" s="34"/>
    </row>
    <row r="200" spans="1:37">
      <c r="A200" s="3"/>
      <c r="B200" s="3"/>
      <c r="C200" s="3"/>
      <c r="D200" s="3"/>
      <c r="E200" s="3"/>
      <c r="F200" s="34"/>
      <c r="G200" s="34"/>
      <c r="H200" s="34"/>
      <c r="I200" s="34"/>
      <c r="J200" s="34"/>
      <c r="K200" s="34"/>
      <c r="L200" s="34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  <c r="Y200" s="34"/>
      <c r="Z200" s="34"/>
      <c r="AA200" s="34"/>
      <c r="AB200" s="34"/>
      <c r="AC200" s="34"/>
      <c r="AD200" s="34"/>
      <c r="AE200" s="34"/>
      <c r="AF200" s="34"/>
      <c r="AG200" s="34"/>
      <c r="AH200" s="34"/>
      <c r="AI200" s="34"/>
      <c r="AJ200" s="34"/>
      <c r="AK200" s="34"/>
    </row>
    <row r="201" spans="1:37">
      <c r="A201" s="3"/>
      <c r="B201" s="3"/>
      <c r="C201" s="3"/>
      <c r="D201" s="3"/>
      <c r="E201" s="3"/>
      <c r="F201" s="34"/>
      <c r="G201" s="34"/>
      <c r="H201" s="34"/>
      <c r="I201" s="34"/>
      <c r="J201" s="34"/>
      <c r="K201" s="34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34"/>
      <c r="Z201" s="34"/>
      <c r="AA201" s="34"/>
      <c r="AB201" s="34"/>
      <c r="AC201" s="34"/>
      <c r="AD201" s="34"/>
      <c r="AE201" s="34"/>
      <c r="AF201" s="34"/>
      <c r="AG201" s="34"/>
      <c r="AH201" s="34"/>
      <c r="AI201" s="34"/>
      <c r="AJ201" s="34"/>
      <c r="AK201" s="34"/>
    </row>
    <row r="202" spans="1:37">
      <c r="A202" s="3"/>
      <c r="B202" s="3"/>
      <c r="C202" s="3"/>
      <c r="D202" s="3"/>
      <c r="E202" s="3"/>
      <c r="F202" s="34"/>
      <c r="G202" s="34"/>
      <c r="H202" s="34"/>
      <c r="I202" s="34"/>
      <c r="J202" s="34"/>
      <c r="K202" s="34"/>
      <c r="L202" s="34"/>
      <c r="M202" s="34"/>
      <c r="N202" s="34"/>
      <c r="O202" s="34"/>
      <c r="P202" s="34"/>
      <c r="Q202" s="34"/>
      <c r="R202" s="34"/>
      <c r="S202" s="34"/>
      <c r="T202" s="34"/>
      <c r="U202" s="34"/>
      <c r="V202" s="34"/>
      <c r="W202" s="34"/>
      <c r="X202" s="34"/>
      <c r="Y202" s="34"/>
      <c r="Z202" s="34"/>
      <c r="AA202" s="34"/>
      <c r="AB202" s="34"/>
      <c r="AC202" s="34"/>
      <c r="AD202" s="34"/>
      <c r="AE202" s="34"/>
      <c r="AF202" s="34"/>
      <c r="AG202" s="34"/>
      <c r="AH202" s="34"/>
      <c r="AI202" s="34"/>
      <c r="AJ202" s="34"/>
      <c r="AK202" s="34"/>
    </row>
    <row r="203" spans="1:37">
      <c r="A203" s="3"/>
      <c r="B203" s="3"/>
      <c r="C203" s="3"/>
      <c r="D203" s="3"/>
      <c r="E203" s="3"/>
      <c r="F203" s="34"/>
      <c r="G203" s="34"/>
      <c r="H203" s="34"/>
      <c r="I203" s="34"/>
      <c r="J203" s="34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4"/>
      <c r="AA203" s="34"/>
      <c r="AB203" s="34"/>
      <c r="AC203" s="34"/>
      <c r="AD203" s="34"/>
      <c r="AE203" s="34"/>
      <c r="AF203" s="34"/>
      <c r="AG203" s="34"/>
      <c r="AH203" s="34"/>
      <c r="AI203" s="34"/>
      <c r="AJ203" s="34"/>
      <c r="AK203" s="34"/>
    </row>
    <row r="204" spans="1:37">
      <c r="A204" s="3"/>
      <c r="B204" s="3"/>
      <c r="C204" s="3"/>
      <c r="D204" s="3"/>
      <c r="E204" s="3"/>
      <c r="F204" s="34"/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  <c r="Z204" s="34"/>
      <c r="AA204" s="34"/>
      <c r="AB204" s="34"/>
      <c r="AC204" s="34"/>
      <c r="AD204" s="34"/>
      <c r="AE204" s="34"/>
      <c r="AF204" s="34"/>
      <c r="AG204" s="34"/>
      <c r="AH204" s="34"/>
      <c r="AI204" s="34"/>
      <c r="AJ204" s="34"/>
      <c r="AK204" s="34"/>
    </row>
    <row r="205" spans="1:37">
      <c r="A205" s="3"/>
      <c r="B205" s="3"/>
      <c r="C205" s="3"/>
      <c r="D205" s="3"/>
      <c r="E205" s="3"/>
      <c r="F205" s="34"/>
      <c r="G205" s="34"/>
      <c r="H205" s="34"/>
      <c r="I205" s="34"/>
      <c r="J205" s="34"/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34"/>
      <c r="AA205" s="34"/>
      <c r="AB205" s="34"/>
      <c r="AC205" s="34"/>
      <c r="AD205" s="34"/>
      <c r="AE205" s="34"/>
      <c r="AF205" s="34"/>
      <c r="AG205" s="34"/>
      <c r="AH205" s="34"/>
      <c r="AI205" s="34"/>
      <c r="AJ205" s="34"/>
      <c r="AK205" s="34"/>
    </row>
    <row r="206" spans="1:37">
      <c r="A206" s="3"/>
      <c r="B206" s="3"/>
      <c r="C206" s="3"/>
      <c r="D206" s="3"/>
      <c r="E206" s="3"/>
      <c r="F206" s="34"/>
      <c r="G206" s="34"/>
      <c r="H206" s="34"/>
      <c r="I206" s="34"/>
      <c r="J206" s="34"/>
      <c r="K206" s="34"/>
      <c r="L206" s="34"/>
      <c r="M206" s="34"/>
      <c r="N206" s="34"/>
      <c r="O206" s="34"/>
      <c r="P206" s="34"/>
      <c r="Q206" s="34"/>
      <c r="R206" s="34"/>
      <c r="S206" s="34"/>
      <c r="T206" s="34"/>
      <c r="U206" s="34"/>
      <c r="V206" s="34"/>
      <c r="W206" s="34"/>
      <c r="X206" s="34"/>
      <c r="Y206" s="34"/>
      <c r="Z206" s="34"/>
      <c r="AA206" s="34"/>
      <c r="AB206" s="34"/>
      <c r="AC206" s="34"/>
      <c r="AD206" s="34"/>
      <c r="AE206" s="34"/>
      <c r="AF206" s="34"/>
      <c r="AG206" s="34"/>
      <c r="AH206" s="34"/>
      <c r="AI206" s="34"/>
      <c r="AJ206" s="34"/>
      <c r="AK206" s="34"/>
    </row>
    <row r="207" spans="1:37">
      <c r="A207" s="3"/>
      <c r="B207" s="3"/>
      <c r="C207" s="3"/>
      <c r="D207" s="3"/>
      <c r="E207" s="3"/>
      <c r="F207" s="34"/>
      <c r="G207" s="34"/>
      <c r="H207" s="34"/>
      <c r="I207" s="34"/>
      <c r="J207" s="34"/>
      <c r="K207" s="34"/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  <c r="Y207" s="34"/>
      <c r="Z207" s="34"/>
      <c r="AA207" s="34"/>
      <c r="AB207" s="34"/>
      <c r="AC207" s="34"/>
      <c r="AD207" s="34"/>
      <c r="AE207" s="34"/>
      <c r="AF207" s="34"/>
      <c r="AG207" s="34"/>
      <c r="AH207" s="34"/>
      <c r="AI207" s="34"/>
      <c r="AJ207" s="34"/>
      <c r="AK207" s="34"/>
    </row>
    <row r="208" spans="1:37">
      <c r="A208" s="3"/>
      <c r="B208" s="3"/>
      <c r="C208" s="3"/>
      <c r="D208" s="3"/>
      <c r="E208" s="3"/>
      <c r="F208" s="34"/>
      <c r="G208" s="34"/>
      <c r="H208" s="34"/>
      <c r="I208" s="34"/>
      <c r="J208" s="34"/>
      <c r="K208" s="34"/>
      <c r="L208" s="34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34"/>
      <c r="Y208" s="34"/>
      <c r="Z208" s="34"/>
      <c r="AA208" s="34"/>
      <c r="AB208" s="34"/>
      <c r="AC208" s="34"/>
      <c r="AD208" s="34"/>
      <c r="AE208" s="34"/>
      <c r="AF208" s="34"/>
      <c r="AG208" s="34"/>
      <c r="AH208" s="34"/>
      <c r="AI208" s="34"/>
      <c r="AJ208" s="34"/>
      <c r="AK208" s="34"/>
    </row>
    <row r="209" spans="1:37">
      <c r="A209" s="3"/>
      <c r="B209" s="3"/>
      <c r="C209" s="3"/>
      <c r="D209" s="3"/>
      <c r="E209" s="3"/>
      <c r="F209" s="34"/>
      <c r="G209" s="34"/>
      <c r="H209" s="34"/>
      <c r="I209" s="34"/>
      <c r="J209" s="34"/>
      <c r="K209" s="34"/>
      <c r="L209" s="34"/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34"/>
      <c r="Y209" s="34"/>
      <c r="Z209" s="34"/>
      <c r="AA209" s="34"/>
      <c r="AB209" s="34"/>
      <c r="AC209" s="34"/>
      <c r="AD209" s="34"/>
      <c r="AE209" s="34"/>
      <c r="AF209" s="34"/>
      <c r="AG209" s="34"/>
      <c r="AH209" s="34"/>
      <c r="AI209" s="34"/>
      <c r="AJ209" s="34"/>
      <c r="AK209" s="34"/>
    </row>
    <row r="210" spans="1:37">
      <c r="A210" s="3"/>
      <c r="B210" s="3"/>
      <c r="C210" s="3"/>
      <c r="D210" s="3"/>
      <c r="E210" s="3"/>
      <c r="F210" s="34"/>
      <c r="G210" s="34"/>
      <c r="H210" s="34"/>
      <c r="I210" s="34"/>
      <c r="J210" s="34"/>
      <c r="K210" s="34"/>
      <c r="L210" s="34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4"/>
      <c r="X210" s="34"/>
      <c r="Y210" s="34"/>
      <c r="Z210" s="34"/>
      <c r="AA210" s="34"/>
      <c r="AB210" s="34"/>
      <c r="AC210" s="34"/>
      <c r="AD210" s="34"/>
      <c r="AE210" s="34"/>
      <c r="AF210" s="34"/>
      <c r="AG210" s="34"/>
      <c r="AH210" s="34"/>
      <c r="AI210" s="34"/>
      <c r="AJ210" s="34"/>
      <c r="AK210" s="34"/>
    </row>
    <row r="211" spans="1:37">
      <c r="A211" s="3"/>
      <c r="B211" s="3"/>
      <c r="C211" s="3"/>
      <c r="D211" s="3"/>
      <c r="E211" s="3"/>
      <c r="F211" s="34"/>
      <c r="G211" s="34"/>
      <c r="H211" s="34"/>
      <c r="I211" s="34"/>
      <c r="J211" s="34"/>
      <c r="K211" s="34"/>
      <c r="L211" s="34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  <c r="Y211" s="34"/>
      <c r="Z211" s="34"/>
      <c r="AA211" s="34"/>
      <c r="AB211" s="34"/>
      <c r="AC211" s="34"/>
      <c r="AD211" s="34"/>
      <c r="AE211" s="34"/>
      <c r="AF211" s="34"/>
      <c r="AG211" s="34"/>
      <c r="AH211" s="34"/>
      <c r="AI211" s="34"/>
      <c r="AJ211" s="34"/>
      <c r="AK211" s="34"/>
    </row>
    <row r="212" spans="1:37">
      <c r="A212" s="3"/>
      <c r="B212" s="3"/>
      <c r="C212" s="3"/>
      <c r="D212" s="3"/>
      <c r="E212" s="3"/>
      <c r="F212" s="34"/>
      <c r="G212" s="34"/>
      <c r="H212" s="34"/>
      <c r="I212" s="34"/>
      <c r="J212" s="34"/>
      <c r="K212" s="34"/>
      <c r="L212" s="34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  <c r="Y212" s="34"/>
      <c r="Z212" s="34"/>
      <c r="AA212" s="34"/>
      <c r="AB212" s="34"/>
      <c r="AC212" s="34"/>
      <c r="AD212" s="34"/>
      <c r="AE212" s="34"/>
      <c r="AF212" s="34"/>
      <c r="AG212" s="34"/>
      <c r="AH212" s="34"/>
      <c r="AI212" s="34"/>
      <c r="AJ212" s="34"/>
      <c r="AK212" s="34"/>
    </row>
    <row r="213" spans="1:37">
      <c r="A213" s="3"/>
      <c r="B213" s="3"/>
      <c r="C213" s="3"/>
      <c r="D213" s="3"/>
      <c r="E213" s="3"/>
      <c r="F213" s="34"/>
      <c r="G213" s="34"/>
      <c r="H213" s="34"/>
      <c r="I213" s="34"/>
      <c r="J213" s="34"/>
      <c r="K213" s="34"/>
      <c r="L213" s="34"/>
      <c r="M213" s="34"/>
      <c r="N213" s="34"/>
      <c r="O213" s="34"/>
      <c r="P213" s="34"/>
      <c r="Q213" s="34"/>
      <c r="R213" s="34"/>
      <c r="S213" s="34"/>
      <c r="T213" s="34"/>
      <c r="U213" s="34"/>
      <c r="V213" s="34"/>
      <c r="W213" s="34"/>
      <c r="X213" s="34"/>
      <c r="Y213" s="34"/>
      <c r="Z213" s="34"/>
      <c r="AA213" s="34"/>
      <c r="AB213" s="34"/>
      <c r="AC213" s="34"/>
      <c r="AD213" s="34"/>
      <c r="AE213" s="34"/>
      <c r="AF213" s="34"/>
      <c r="AG213" s="34"/>
      <c r="AH213" s="34"/>
      <c r="AI213" s="34"/>
      <c r="AJ213" s="34"/>
      <c r="AK213" s="34"/>
    </row>
    <row r="214" spans="1:37">
      <c r="A214" s="3"/>
      <c r="B214" s="3"/>
      <c r="C214" s="3"/>
      <c r="D214" s="3"/>
      <c r="E214" s="3"/>
      <c r="F214" s="34"/>
      <c r="G214" s="34"/>
      <c r="H214" s="34"/>
      <c r="I214" s="34"/>
      <c r="J214" s="34"/>
      <c r="K214" s="34"/>
      <c r="L214" s="34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34"/>
      <c r="Y214" s="34"/>
      <c r="Z214" s="34"/>
      <c r="AA214" s="34"/>
      <c r="AB214" s="34"/>
      <c r="AC214" s="34"/>
      <c r="AD214" s="34"/>
      <c r="AE214" s="34"/>
      <c r="AF214" s="34"/>
      <c r="AG214" s="34"/>
      <c r="AH214" s="34"/>
      <c r="AI214" s="34"/>
      <c r="AJ214" s="34"/>
      <c r="AK214" s="34"/>
    </row>
    <row r="215" spans="1:37">
      <c r="A215" s="3"/>
      <c r="B215" s="3"/>
      <c r="C215" s="3"/>
      <c r="D215" s="3"/>
      <c r="E215" s="3"/>
      <c r="F215" s="34"/>
      <c r="G215" s="34"/>
      <c r="H215" s="34"/>
      <c r="I215" s="34"/>
      <c r="J215" s="3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34"/>
      <c r="Z215" s="34"/>
      <c r="AA215" s="34"/>
      <c r="AB215" s="34"/>
      <c r="AC215" s="34"/>
      <c r="AD215" s="34"/>
      <c r="AE215" s="34"/>
      <c r="AF215" s="34"/>
      <c r="AG215" s="34"/>
      <c r="AH215" s="34"/>
      <c r="AI215" s="34"/>
      <c r="AJ215" s="34"/>
      <c r="AK215" s="34"/>
    </row>
    <row r="216" spans="1:37">
      <c r="A216" s="3"/>
      <c r="B216" s="3"/>
      <c r="C216" s="3"/>
      <c r="D216" s="3"/>
      <c r="E216" s="3"/>
      <c r="F216" s="34"/>
      <c r="G216" s="34"/>
      <c r="H216" s="34"/>
      <c r="I216" s="34"/>
      <c r="J216" s="34"/>
      <c r="K216" s="34"/>
      <c r="L216" s="34"/>
      <c r="M216" s="34"/>
      <c r="N216" s="34"/>
      <c r="O216" s="34"/>
      <c r="P216" s="34"/>
      <c r="Q216" s="34"/>
      <c r="R216" s="34"/>
      <c r="S216" s="34"/>
      <c r="T216" s="34"/>
      <c r="U216" s="34"/>
      <c r="V216" s="34"/>
      <c r="W216" s="34"/>
      <c r="X216" s="34"/>
      <c r="Y216" s="34"/>
      <c r="Z216" s="34"/>
      <c r="AA216" s="34"/>
      <c r="AB216" s="34"/>
      <c r="AC216" s="34"/>
      <c r="AD216" s="34"/>
      <c r="AE216" s="34"/>
      <c r="AF216" s="34"/>
      <c r="AG216" s="34"/>
      <c r="AH216" s="34"/>
      <c r="AI216" s="34"/>
      <c r="AJ216" s="34"/>
      <c r="AK216" s="34"/>
    </row>
    <row r="217" spans="1:37">
      <c r="A217" s="3"/>
      <c r="B217" s="3"/>
      <c r="C217" s="3"/>
      <c r="D217" s="3"/>
      <c r="E217" s="3"/>
      <c r="F217" s="34"/>
      <c r="G217" s="34"/>
      <c r="H217" s="34"/>
      <c r="I217" s="34"/>
      <c r="J217" s="34"/>
      <c r="K217" s="34"/>
      <c r="L217" s="34"/>
      <c r="M217" s="34"/>
      <c r="N217" s="34"/>
      <c r="O217" s="34"/>
      <c r="P217" s="34"/>
      <c r="Q217" s="34"/>
      <c r="R217" s="34"/>
      <c r="S217" s="34"/>
      <c r="T217" s="34"/>
      <c r="U217" s="34"/>
      <c r="V217" s="34"/>
      <c r="W217" s="34"/>
      <c r="X217" s="34"/>
      <c r="Y217" s="34"/>
      <c r="Z217" s="34"/>
      <c r="AA217" s="34"/>
      <c r="AB217" s="34"/>
      <c r="AC217" s="34"/>
      <c r="AD217" s="34"/>
      <c r="AE217" s="34"/>
      <c r="AF217" s="34"/>
      <c r="AG217" s="34"/>
      <c r="AH217" s="34"/>
      <c r="AI217" s="34"/>
      <c r="AJ217" s="34"/>
      <c r="AK217" s="34"/>
    </row>
    <row r="218" spans="1:37">
      <c r="A218" s="3"/>
      <c r="B218" s="3"/>
      <c r="C218" s="3"/>
      <c r="D218" s="3"/>
      <c r="E218" s="3"/>
      <c r="F218" s="34"/>
      <c r="G218" s="34"/>
      <c r="H218" s="34"/>
      <c r="I218" s="34"/>
      <c r="J218" s="34"/>
      <c r="K218" s="34"/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  <c r="Y218" s="34"/>
      <c r="Z218" s="34"/>
      <c r="AA218" s="34"/>
      <c r="AB218" s="34"/>
      <c r="AC218" s="34"/>
      <c r="AD218" s="34"/>
      <c r="AE218" s="34"/>
      <c r="AF218" s="34"/>
      <c r="AG218" s="34"/>
      <c r="AH218" s="34"/>
      <c r="AI218" s="34"/>
      <c r="AJ218" s="34"/>
      <c r="AK218" s="34"/>
    </row>
    <row r="219" spans="1:37">
      <c r="A219" s="3"/>
      <c r="B219" s="3"/>
      <c r="C219" s="3"/>
      <c r="D219" s="3"/>
      <c r="E219" s="3"/>
      <c r="F219" s="34"/>
      <c r="G219" s="34"/>
      <c r="H219" s="34"/>
      <c r="I219" s="34"/>
      <c r="J219" s="34"/>
      <c r="K219" s="34"/>
      <c r="L219" s="34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34"/>
      <c r="Y219" s="34"/>
      <c r="Z219" s="34"/>
      <c r="AA219" s="34"/>
      <c r="AB219" s="34"/>
      <c r="AC219" s="34"/>
      <c r="AD219" s="34"/>
      <c r="AE219" s="34"/>
      <c r="AF219" s="34"/>
      <c r="AG219" s="34"/>
      <c r="AH219" s="34"/>
      <c r="AI219" s="34"/>
      <c r="AJ219" s="34"/>
      <c r="AK219" s="34"/>
    </row>
    <row r="220" spans="1:37">
      <c r="A220" s="3"/>
      <c r="B220" s="3"/>
      <c r="C220" s="3"/>
      <c r="D220" s="3"/>
      <c r="E220" s="3"/>
      <c r="F220" s="34"/>
      <c r="G220" s="34"/>
      <c r="H220" s="34"/>
      <c r="I220" s="34"/>
      <c r="J220" s="34"/>
      <c r="K220" s="34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Y220" s="34"/>
      <c r="Z220" s="34"/>
      <c r="AA220" s="34"/>
      <c r="AB220" s="34"/>
      <c r="AC220" s="34"/>
      <c r="AD220" s="34"/>
      <c r="AE220" s="34"/>
      <c r="AF220" s="34"/>
      <c r="AG220" s="34"/>
      <c r="AH220" s="34"/>
      <c r="AI220" s="34"/>
      <c r="AJ220" s="34"/>
      <c r="AK220" s="34"/>
    </row>
    <row r="221" spans="1:37">
      <c r="A221" s="3"/>
      <c r="B221" s="3"/>
      <c r="C221" s="3"/>
      <c r="D221" s="3"/>
      <c r="E221" s="3"/>
      <c r="F221" s="34"/>
      <c r="G221" s="34"/>
      <c r="H221" s="34"/>
      <c r="I221" s="34"/>
      <c r="J221" s="34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4"/>
      <c r="Z221" s="34"/>
      <c r="AA221" s="34"/>
      <c r="AB221" s="34"/>
      <c r="AC221" s="34"/>
      <c r="AD221" s="34"/>
      <c r="AE221" s="34"/>
      <c r="AF221" s="34"/>
      <c r="AG221" s="34"/>
      <c r="AH221" s="34"/>
      <c r="AI221" s="34"/>
      <c r="AJ221" s="34"/>
      <c r="AK221" s="34"/>
    </row>
    <row r="222" spans="1:37">
      <c r="A222" s="3"/>
      <c r="B222" s="3"/>
      <c r="C222" s="3"/>
      <c r="D222" s="3"/>
      <c r="E222" s="3"/>
      <c r="F222" s="34"/>
      <c r="G222" s="34"/>
      <c r="H222" s="34"/>
      <c r="I222" s="34"/>
      <c r="J222" s="34"/>
      <c r="K222" s="34"/>
      <c r="L222" s="34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4"/>
      <c r="Y222" s="34"/>
      <c r="Z222" s="34"/>
      <c r="AA222" s="34"/>
      <c r="AB222" s="34"/>
      <c r="AC222" s="34"/>
      <c r="AD222" s="34"/>
      <c r="AE222" s="34"/>
      <c r="AF222" s="34"/>
      <c r="AG222" s="34"/>
      <c r="AH222" s="34"/>
      <c r="AI222" s="34"/>
      <c r="AJ222" s="34"/>
      <c r="AK222" s="34"/>
    </row>
    <row r="223" spans="1:37">
      <c r="A223" s="3"/>
      <c r="B223" s="3"/>
      <c r="C223" s="3"/>
      <c r="D223" s="3"/>
      <c r="E223" s="3"/>
      <c r="F223" s="34"/>
      <c r="G223" s="34"/>
      <c r="H223" s="34"/>
      <c r="I223" s="34"/>
      <c r="J223" s="34"/>
      <c r="K223" s="34"/>
      <c r="L223" s="34"/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  <c r="Y223" s="34"/>
      <c r="Z223" s="34"/>
      <c r="AA223" s="34"/>
      <c r="AB223" s="34"/>
      <c r="AC223" s="34"/>
      <c r="AD223" s="34"/>
      <c r="AE223" s="34"/>
      <c r="AF223" s="34"/>
      <c r="AG223" s="34"/>
      <c r="AH223" s="34"/>
      <c r="AI223" s="34"/>
      <c r="AJ223" s="34"/>
      <c r="AK223" s="34"/>
    </row>
    <row r="224" spans="1:37">
      <c r="A224" s="3"/>
      <c r="B224" s="3"/>
      <c r="C224" s="3"/>
      <c r="D224" s="3"/>
      <c r="E224" s="3"/>
      <c r="F224" s="34"/>
      <c r="G224" s="34"/>
      <c r="H224" s="34"/>
      <c r="I224" s="34"/>
      <c r="J224" s="34"/>
      <c r="K224" s="34"/>
      <c r="L224" s="34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34"/>
      <c r="Y224" s="34"/>
      <c r="Z224" s="34"/>
      <c r="AA224" s="34"/>
      <c r="AB224" s="34"/>
      <c r="AC224" s="34"/>
      <c r="AD224" s="34"/>
      <c r="AE224" s="34"/>
      <c r="AF224" s="34"/>
      <c r="AG224" s="34"/>
      <c r="AH224" s="34"/>
      <c r="AI224" s="34"/>
      <c r="AJ224" s="34"/>
      <c r="AK224" s="34"/>
    </row>
    <row r="225" spans="1:37">
      <c r="A225" s="3"/>
      <c r="B225" s="3"/>
      <c r="C225" s="3"/>
      <c r="D225" s="3"/>
      <c r="E225" s="3"/>
      <c r="F225" s="34"/>
      <c r="G225" s="34"/>
      <c r="H225" s="34"/>
      <c r="I225" s="34"/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  <c r="Z225" s="34"/>
      <c r="AA225" s="34"/>
      <c r="AB225" s="34"/>
      <c r="AC225" s="34"/>
      <c r="AD225" s="34"/>
      <c r="AE225" s="34"/>
      <c r="AF225" s="34"/>
      <c r="AG225" s="34"/>
      <c r="AH225" s="34"/>
      <c r="AI225" s="34"/>
      <c r="AJ225" s="34"/>
      <c r="AK225" s="34"/>
    </row>
    <row r="226" spans="1:37">
      <c r="A226" s="3"/>
      <c r="B226" s="3"/>
      <c r="C226" s="3"/>
      <c r="D226" s="3"/>
      <c r="E226" s="3"/>
      <c r="F226" s="34"/>
      <c r="G226" s="34"/>
      <c r="H226" s="34"/>
      <c r="I226" s="34"/>
      <c r="J226" s="34"/>
      <c r="K226" s="34"/>
      <c r="L226" s="34"/>
      <c r="M226" s="34"/>
      <c r="N226" s="34"/>
      <c r="O226" s="34"/>
      <c r="P226" s="34"/>
      <c r="Q226" s="34"/>
      <c r="R226" s="34"/>
      <c r="S226" s="34"/>
      <c r="T226" s="34"/>
      <c r="U226" s="34"/>
      <c r="V226" s="34"/>
      <c r="W226" s="34"/>
      <c r="X226" s="34"/>
      <c r="Y226" s="34"/>
      <c r="Z226" s="34"/>
      <c r="AA226" s="34"/>
      <c r="AB226" s="34"/>
      <c r="AC226" s="34"/>
      <c r="AD226" s="34"/>
      <c r="AE226" s="34"/>
      <c r="AF226" s="34"/>
      <c r="AG226" s="34"/>
      <c r="AH226" s="34"/>
      <c r="AI226" s="34"/>
      <c r="AJ226" s="34"/>
      <c r="AK226" s="34"/>
    </row>
    <row r="227" spans="1:37">
      <c r="A227" s="3"/>
      <c r="B227" s="3"/>
      <c r="C227" s="3"/>
      <c r="D227" s="3"/>
      <c r="E227" s="3"/>
      <c r="F227" s="34"/>
      <c r="G227" s="34"/>
      <c r="H227" s="34"/>
      <c r="I227" s="34"/>
      <c r="J227" s="34"/>
      <c r="K227" s="34"/>
      <c r="L227" s="34"/>
      <c r="M227" s="34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34"/>
      <c r="Y227" s="34"/>
      <c r="Z227" s="34"/>
      <c r="AA227" s="34"/>
      <c r="AB227" s="34"/>
      <c r="AC227" s="34"/>
      <c r="AD227" s="34"/>
      <c r="AE227" s="34"/>
      <c r="AF227" s="34"/>
      <c r="AG227" s="34"/>
      <c r="AH227" s="34"/>
      <c r="AI227" s="34"/>
      <c r="AJ227" s="34"/>
      <c r="AK227" s="34"/>
    </row>
    <row r="228" spans="1:37">
      <c r="A228" s="3"/>
      <c r="B228" s="3"/>
      <c r="C228" s="3"/>
      <c r="D228" s="3"/>
      <c r="E228" s="3"/>
      <c r="F228" s="34"/>
      <c r="G228" s="34"/>
      <c r="H228" s="34"/>
      <c r="I228" s="34"/>
      <c r="J228" s="34"/>
      <c r="K228" s="34"/>
      <c r="L228" s="34"/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34"/>
      <c r="Y228" s="34"/>
      <c r="Z228" s="34"/>
      <c r="AA228" s="34"/>
      <c r="AB228" s="34"/>
      <c r="AC228" s="34"/>
      <c r="AD228" s="34"/>
      <c r="AE228" s="34"/>
      <c r="AF228" s="34"/>
      <c r="AG228" s="34"/>
      <c r="AH228" s="34"/>
      <c r="AI228" s="34"/>
      <c r="AJ228" s="34"/>
      <c r="AK228" s="34"/>
    </row>
    <row r="229" spans="1:37">
      <c r="A229" s="3"/>
      <c r="B229" s="3"/>
      <c r="C229" s="3"/>
      <c r="D229" s="3"/>
      <c r="E229" s="3"/>
      <c r="F229" s="34"/>
      <c r="G229" s="34"/>
      <c r="H229" s="34"/>
      <c r="I229" s="34"/>
      <c r="J229" s="34"/>
      <c r="K229" s="34"/>
      <c r="L229" s="34"/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34"/>
      <c r="Y229" s="34"/>
      <c r="Z229" s="34"/>
      <c r="AA229" s="34"/>
      <c r="AB229" s="34"/>
      <c r="AC229" s="34"/>
      <c r="AD229" s="34"/>
      <c r="AE229" s="34"/>
      <c r="AF229" s="34"/>
      <c r="AG229" s="34"/>
      <c r="AH229" s="34"/>
      <c r="AI229" s="34"/>
      <c r="AJ229" s="34"/>
      <c r="AK229" s="34"/>
    </row>
    <row r="230" spans="1:37">
      <c r="A230" s="3"/>
      <c r="B230" s="3"/>
      <c r="C230" s="3"/>
      <c r="D230" s="3"/>
      <c r="E230" s="3"/>
      <c r="F230" s="34"/>
      <c r="G230" s="34"/>
      <c r="H230" s="34"/>
      <c r="I230" s="34"/>
      <c r="J230" s="34"/>
      <c r="K230" s="34"/>
      <c r="L230" s="34"/>
      <c r="M230" s="34"/>
      <c r="N230" s="34"/>
      <c r="O230" s="34"/>
      <c r="P230" s="34"/>
      <c r="Q230" s="34"/>
      <c r="R230" s="34"/>
      <c r="S230" s="34"/>
      <c r="T230" s="34"/>
      <c r="U230" s="34"/>
      <c r="V230" s="34"/>
      <c r="W230" s="34"/>
      <c r="X230" s="34"/>
      <c r="Y230" s="34"/>
      <c r="Z230" s="34"/>
      <c r="AA230" s="34"/>
      <c r="AB230" s="34"/>
      <c r="AC230" s="34"/>
      <c r="AD230" s="34"/>
      <c r="AE230" s="34"/>
      <c r="AF230" s="34"/>
      <c r="AG230" s="34"/>
      <c r="AH230" s="34"/>
      <c r="AI230" s="34"/>
      <c r="AJ230" s="34"/>
      <c r="AK230" s="34"/>
    </row>
    <row r="231" spans="1:37">
      <c r="A231" s="3"/>
      <c r="B231" s="3"/>
      <c r="C231" s="3"/>
      <c r="D231" s="3"/>
      <c r="E231" s="3"/>
      <c r="F231" s="34"/>
      <c r="G231" s="34"/>
      <c r="H231" s="34"/>
      <c r="I231" s="34"/>
      <c r="J231" s="34"/>
      <c r="K231" s="34"/>
      <c r="L231" s="34"/>
      <c r="M231" s="34"/>
      <c r="N231" s="34"/>
      <c r="O231" s="34"/>
      <c r="P231" s="34"/>
      <c r="Q231" s="34"/>
      <c r="R231" s="34"/>
      <c r="S231" s="34"/>
      <c r="T231" s="34"/>
      <c r="U231" s="34"/>
      <c r="V231" s="34"/>
      <c r="W231" s="34"/>
      <c r="X231" s="34"/>
      <c r="Y231" s="34"/>
      <c r="Z231" s="34"/>
      <c r="AA231" s="34"/>
      <c r="AB231" s="34"/>
      <c r="AC231" s="34"/>
      <c r="AD231" s="34"/>
      <c r="AE231" s="34"/>
      <c r="AF231" s="34"/>
      <c r="AG231" s="34"/>
      <c r="AH231" s="34"/>
      <c r="AI231" s="34"/>
      <c r="AJ231" s="34"/>
      <c r="AK231" s="34"/>
    </row>
    <row r="232" spans="1:37">
      <c r="A232" s="3"/>
      <c r="B232" s="3"/>
      <c r="C232" s="3"/>
      <c r="D232" s="3"/>
      <c r="E232" s="3"/>
      <c r="F232" s="34"/>
      <c r="G232" s="34"/>
      <c r="H232" s="34"/>
      <c r="I232" s="34"/>
      <c r="J232" s="34"/>
      <c r="K232" s="34"/>
      <c r="L232" s="34"/>
      <c r="M232" s="34"/>
      <c r="N232" s="34"/>
      <c r="O232" s="34"/>
      <c r="P232" s="34"/>
      <c r="Q232" s="34"/>
      <c r="R232" s="34"/>
      <c r="S232" s="34"/>
      <c r="T232" s="34"/>
      <c r="U232" s="34"/>
      <c r="V232" s="34"/>
      <c r="W232" s="34"/>
      <c r="X232" s="34"/>
      <c r="Y232" s="34"/>
      <c r="Z232" s="34"/>
      <c r="AA232" s="34"/>
      <c r="AB232" s="34"/>
      <c r="AC232" s="34"/>
      <c r="AD232" s="34"/>
      <c r="AE232" s="34"/>
      <c r="AF232" s="34"/>
      <c r="AG232" s="34"/>
      <c r="AH232" s="34"/>
      <c r="AI232" s="34"/>
      <c r="AJ232" s="34"/>
      <c r="AK232" s="34"/>
    </row>
    <row r="233" spans="1:37">
      <c r="A233" s="3"/>
      <c r="B233" s="3"/>
      <c r="C233" s="3"/>
      <c r="D233" s="3"/>
      <c r="E233" s="3"/>
      <c r="F233" s="34"/>
      <c r="G233" s="34"/>
      <c r="H233" s="34"/>
      <c r="I233" s="34"/>
      <c r="J233" s="34"/>
      <c r="K233" s="34"/>
      <c r="L233" s="34"/>
      <c r="M233" s="34"/>
      <c r="N233" s="34"/>
      <c r="O233" s="34"/>
      <c r="P233" s="34"/>
      <c r="Q233" s="34"/>
      <c r="R233" s="34"/>
      <c r="S233" s="34"/>
      <c r="T233" s="34"/>
      <c r="U233" s="34"/>
      <c r="V233" s="34"/>
      <c r="W233" s="34"/>
      <c r="X233" s="34"/>
      <c r="Y233" s="34"/>
      <c r="Z233" s="34"/>
      <c r="AA233" s="34"/>
      <c r="AB233" s="34"/>
      <c r="AC233" s="34"/>
      <c r="AD233" s="34"/>
      <c r="AE233" s="34"/>
      <c r="AF233" s="34"/>
      <c r="AG233" s="34"/>
      <c r="AH233" s="34"/>
      <c r="AI233" s="34"/>
      <c r="AJ233" s="34"/>
      <c r="AK233" s="34"/>
    </row>
    <row r="234" spans="1:37">
      <c r="A234" s="3"/>
      <c r="B234" s="3"/>
      <c r="C234" s="3"/>
      <c r="D234" s="3"/>
      <c r="E234" s="3"/>
      <c r="F234" s="34"/>
      <c r="G234" s="34"/>
      <c r="H234" s="34"/>
      <c r="I234" s="34"/>
      <c r="J234" s="34"/>
      <c r="K234" s="34"/>
      <c r="L234" s="34"/>
      <c r="M234" s="34"/>
      <c r="N234" s="34"/>
      <c r="O234" s="34"/>
      <c r="P234" s="34"/>
      <c r="Q234" s="34"/>
      <c r="R234" s="34"/>
      <c r="S234" s="34"/>
      <c r="T234" s="34"/>
      <c r="U234" s="34"/>
      <c r="V234" s="34"/>
      <c r="W234" s="34"/>
      <c r="X234" s="34"/>
      <c r="Y234" s="34"/>
      <c r="Z234" s="34"/>
      <c r="AA234" s="34"/>
      <c r="AB234" s="34"/>
      <c r="AC234" s="34"/>
      <c r="AD234" s="34"/>
      <c r="AE234" s="34"/>
      <c r="AF234" s="34"/>
      <c r="AG234" s="34"/>
      <c r="AH234" s="34"/>
      <c r="AI234" s="34"/>
      <c r="AJ234" s="34"/>
      <c r="AK234" s="34"/>
    </row>
    <row r="235" spans="1:37">
      <c r="A235" s="3"/>
      <c r="B235" s="3"/>
      <c r="C235" s="3"/>
      <c r="D235" s="3"/>
      <c r="E235" s="3"/>
      <c r="F235" s="34"/>
      <c r="G235" s="34"/>
      <c r="H235" s="34"/>
      <c r="I235" s="34"/>
      <c r="J235" s="34"/>
      <c r="K235" s="34"/>
      <c r="L235" s="34"/>
      <c r="M235" s="34"/>
      <c r="N235" s="34"/>
      <c r="O235" s="34"/>
      <c r="P235" s="34"/>
      <c r="Q235" s="34"/>
      <c r="R235" s="34"/>
      <c r="S235" s="34"/>
      <c r="T235" s="34"/>
      <c r="U235" s="34"/>
      <c r="V235" s="34"/>
      <c r="W235" s="34"/>
      <c r="X235" s="34"/>
      <c r="Y235" s="34"/>
      <c r="Z235" s="34"/>
      <c r="AA235" s="34"/>
      <c r="AB235" s="34"/>
      <c r="AC235" s="34"/>
      <c r="AD235" s="34"/>
      <c r="AE235" s="34"/>
      <c r="AF235" s="34"/>
      <c r="AG235" s="34"/>
      <c r="AH235" s="34"/>
      <c r="AI235" s="34"/>
      <c r="AJ235" s="34"/>
      <c r="AK235" s="34"/>
    </row>
    <row r="236" spans="1:37">
      <c r="A236" s="3"/>
      <c r="B236" s="3"/>
      <c r="C236" s="3"/>
      <c r="D236" s="3"/>
      <c r="E236" s="3"/>
      <c r="F236" s="34"/>
      <c r="G236" s="34"/>
      <c r="H236" s="34"/>
      <c r="I236" s="34"/>
      <c r="J236" s="34"/>
      <c r="K236" s="34"/>
      <c r="L236" s="34"/>
      <c r="M236" s="34"/>
      <c r="N236" s="34"/>
      <c r="O236" s="34"/>
      <c r="P236" s="34"/>
      <c r="Q236" s="34"/>
      <c r="R236" s="34"/>
      <c r="S236" s="34"/>
      <c r="T236" s="34"/>
      <c r="U236" s="34"/>
      <c r="V236" s="34"/>
      <c r="W236" s="34"/>
      <c r="X236" s="34"/>
      <c r="Y236" s="34"/>
      <c r="Z236" s="34"/>
      <c r="AA236" s="34"/>
      <c r="AB236" s="34"/>
      <c r="AC236" s="34"/>
      <c r="AD236" s="34"/>
      <c r="AE236" s="34"/>
      <c r="AF236" s="34"/>
      <c r="AG236" s="34"/>
      <c r="AH236" s="34"/>
      <c r="AI236" s="34"/>
      <c r="AJ236" s="34"/>
      <c r="AK236" s="34"/>
    </row>
    <row r="237" spans="1:37">
      <c r="A237" s="3"/>
      <c r="B237" s="3"/>
      <c r="C237" s="3"/>
      <c r="D237" s="3"/>
      <c r="E237" s="3"/>
      <c r="F237" s="34"/>
      <c r="G237" s="34"/>
      <c r="H237" s="34"/>
      <c r="I237" s="34"/>
      <c r="J237" s="34"/>
      <c r="K237" s="34"/>
      <c r="L237" s="34"/>
      <c r="M237" s="34"/>
      <c r="N237" s="34"/>
      <c r="O237" s="34"/>
      <c r="P237" s="34"/>
      <c r="Q237" s="34"/>
      <c r="R237" s="34"/>
      <c r="S237" s="34"/>
      <c r="T237" s="34"/>
      <c r="U237" s="34"/>
      <c r="V237" s="34"/>
      <c r="W237" s="34"/>
      <c r="X237" s="34"/>
      <c r="Y237" s="34"/>
      <c r="Z237" s="34"/>
      <c r="AA237" s="34"/>
      <c r="AB237" s="34"/>
      <c r="AC237" s="34"/>
      <c r="AD237" s="34"/>
      <c r="AE237" s="34"/>
      <c r="AF237" s="34"/>
      <c r="AG237" s="34"/>
      <c r="AH237" s="34"/>
      <c r="AI237" s="34"/>
      <c r="AJ237" s="34"/>
      <c r="AK237" s="34"/>
    </row>
    <row r="238" spans="1:37">
      <c r="A238" s="3"/>
      <c r="B238" s="3"/>
      <c r="C238" s="3"/>
      <c r="D238" s="3"/>
      <c r="E238" s="3"/>
      <c r="F238" s="34"/>
      <c r="G238" s="34"/>
      <c r="H238" s="34"/>
      <c r="I238" s="34"/>
      <c r="J238" s="34"/>
      <c r="K238" s="34"/>
      <c r="L238" s="34"/>
      <c r="M238" s="34"/>
      <c r="N238" s="34"/>
      <c r="O238" s="34"/>
      <c r="P238" s="34"/>
      <c r="Q238" s="34"/>
      <c r="R238" s="34"/>
      <c r="S238" s="34"/>
      <c r="T238" s="34"/>
      <c r="U238" s="34"/>
      <c r="V238" s="34"/>
      <c r="W238" s="34"/>
      <c r="X238" s="34"/>
      <c r="Y238" s="34"/>
      <c r="Z238" s="34"/>
      <c r="AA238" s="34"/>
      <c r="AB238" s="34"/>
      <c r="AC238" s="34"/>
      <c r="AD238" s="34"/>
      <c r="AE238" s="34"/>
      <c r="AF238" s="34"/>
      <c r="AG238" s="34"/>
      <c r="AH238" s="34"/>
      <c r="AI238" s="34"/>
      <c r="AJ238" s="34"/>
      <c r="AK238" s="34"/>
    </row>
    <row r="239" spans="1:37">
      <c r="A239" s="3"/>
      <c r="B239" s="3"/>
      <c r="C239" s="3"/>
      <c r="D239" s="3"/>
      <c r="E239" s="3"/>
      <c r="F239" s="34"/>
      <c r="G239" s="34"/>
      <c r="H239" s="34"/>
      <c r="I239" s="34"/>
      <c r="J239" s="34"/>
      <c r="K239" s="34"/>
      <c r="L239" s="34"/>
      <c r="M239" s="34"/>
      <c r="N239" s="34"/>
      <c r="O239" s="34"/>
      <c r="P239" s="34"/>
      <c r="Q239" s="34"/>
      <c r="R239" s="34"/>
      <c r="S239" s="34"/>
      <c r="T239" s="34"/>
      <c r="U239" s="34"/>
      <c r="V239" s="34"/>
      <c r="W239" s="34"/>
      <c r="X239" s="34"/>
      <c r="Y239" s="34"/>
      <c r="Z239" s="34"/>
      <c r="AA239" s="34"/>
      <c r="AB239" s="34"/>
      <c r="AC239" s="34"/>
      <c r="AD239" s="34"/>
      <c r="AE239" s="34"/>
      <c r="AF239" s="34"/>
      <c r="AG239" s="34"/>
      <c r="AH239" s="34"/>
      <c r="AI239" s="34"/>
      <c r="AJ239" s="34"/>
      <c r="AK239" s="34"/>
    </row>
    <row r="240" spans="1:37">
      <c r="A240" s="3"/>
      <c r="B240" s="3"/>
      <c r="C240" s="3"/>
      <c r="D240" s="3"/>
      <c r="E240" s="3"/>
      <c r="F240" s="34"/>
      <c r="G240" s="34"/>
      <c r="H240" s="34"/>
      <c r="I240" s="34"/>
      <c r="J240" s="34"/>
      <c r="K240" s="34"/>
      <c r="L240" s="34"/>
      <c r="M240" s="34"/>
      <c r="N240" s="34"/>
      <c r="O240" s="34"/>
      <c r="P240" s="34"/>
      <c r="Q240" s="34"/>
      <c r="R240" s="34"/>
      <c r="S240" s="34"/>
      <c r="T240" s="34"/>
      <c r="U240" s="34"/>
      <c r="V240" s="34"/>
      <c r="W240" s="34"/>
      <c r="X240" s="34"/>
      <c r="Y240" s="34"/>
      <c r="Z240" s="34"/>
      <c r="AA240" s="34"/>
      <c r="AB240" s="34"/>
      <c r="AC240" s="34"/>
      <c r="AD240" s="34"/>
      <c r="AE240" s="34"/>
      <c r="AF240" s="34"/>
      <c r="AG240" s="34"/>
      <c r="AH240" s="34"/>
      <c r="AI240" s="34"/>
      <c r="AJ240" s="34"/>
      <c r="AK240" s="34"/>
    </row>
    <row r="241" spans="1:37">
      <c r="A241" s="3"/>
      <c r="B241" s="3"/>
      <c r="C241" s="3"/>
      <c r="D241" s="3"/>
      <c r="E241" s="3"/>
      <c r="F241" s="34"/>
      <c r="G241" s="34"/>
      <c r="H241" s="34"/>
      <c r="I241" s="34"/>
      <c r="J241" s="34"/>
      <c r="K241" s="34"/>
      <c r="L241" s="34"/>
      <c r="M241" s="34"/>
      <c r="N241" s="34"/>
      <c r="O241" s="34"/>
      <c r="P241" s="34"/>
      <c r="Q241" s="34"/>
      <c r="R241" s="34"/>
      <c r="S241" s="34"/>
      <c r="T241" s="34"/>
      <c r="U241" s="34"/>
      <c r="V241" s="34"/>
      <c r="W241" s="34"/>
      <c r="X241" s="34"/>
      <c r="Y241" s="34"/>
      <c r="Z241" s="34"/>
      <c r="AA241" s="34"/>
      <c r="AB241" s="34"/>
      <c r="AC241" s="34"/>
      <c r="AD241" s="34"/>
      <c r="AE241" s="34"/>
      <c r="AF241" s="34"/>
      <c r="AG241" s="34"/>
      <c r="AH241" s="34"/>
      <c r="AI241" s="34"/>
      <c r="AJ241" s="34"/>
      <c r="AK241" s="34"/>
    </row>
    <row r="242" spans="1:37">
      <c r="A242" s="3"/>
      <c r="B242" s="3"/>
      <c r="C242" s="3"/>
      <c r="D242" s="3"/>
      <c r="E242" s="3"/>
      <c r="F242" s="34"/>
      <c r="G242" s="34"/>
      <c r="H242" s="34"/>
      <c r="I242" s="34"/>
      <c r="J242" s="34"/>
      <c r="K242" s="34"/>
      <c r="L242" s="34"/>
      <c r="M242" s="34"/>
      <c r="N242" s="34"/>
      <c r="O242" s="34"/>
      <c r="P242" s="34"/>
      <c r="Q242" s="34"/>
      <c r="R242" s="34"/>
      <c r="S242" s="34"/>
      <c r="T242" s="34"/>
      <c r="U242" s="34"/>
      <c r="V242" s="34"/>
      <c r="W242" s="34"/>
      <c r="X242" s="34"/>
      <c r="Y242" s="34"/>
      <c r="Z242" s="34"/>
      <c r="AA242" s="34"/>
      <c r="AB242" s="34"/>
      <c r="AC242" s="34"/>
      <c r="AD242" s="34"/>
      <c r="AE242" s="34"/>
      <c r="AF242" s="34"/>
      <c r="AG242" s="34"/>
      <c r="AH242" s="34"/>
      <c r="AI242" s="34"/>
      <c r="AJ242" s="34"/>
      <c r="AK242" s="34"/>
    </row>
    <row r="243" spans="1:37">
      <c r="A243" s="3"/>
      <c r="B243" s="3"/>
      <c r="C243" s="3"/>
      <c r="D243" s="3"/>
      <c r="E243" s="3"/>
      <c r="F243" s="34"/>
      <c r="G243" s="34"/>
      <c r="H243" s="34"/>
      <c r="I243" s="34"/>
      <c r="J243" s="34"/>
      <c r="K243" s="34"/>
      <c r="L243" s="34"/>
      <c r="M243" s="34"/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X243" s="34"/>
      <c r="Y243" s="34"/>
      <c r="Z243" s="34"/>
      <c r="AA243" s="34"/>
      <c r="AB243" s="34"/>
      <c r="AC243" s="34"/>
      <c r="AD243" s="34"/>
      <c r="AE243" s="34"/>
      <c r="AF243" s="34"/>
      <c r="AG243" s="34"/>
      <c r="AH243" s="34"/>
      <c r="AI243" s="34"/>
      <c r="AJ243" s="34"/>
      <c r="AK243" s="34"/>
    </row>
    <row r="244" spans="1:37">
      <c r="A244" s="3"/>
      <c r="B244" s="3"/>
      <c r="C244" s="3"/>
      <c r="D244" s="3"/>
      <c r="E244" s="3"/>
      <c r="F244" s="34"/>
      <c r="G244" s="34"/>
      <c r="H244" s="34"/>
      <c r="I244" s="34"/>
      <c r="J244" s="34"/>
      <c r="K244" s="34"/>
      <c r="L244" s="34"/>
      <c r="M244" s="34"/>
      <c r="N244" s="34"/>
      <c r="O244" s="34"/>
      <c r="P244" s="34"/>
      <c r="Q244" s="34"/>
      <c r="R244" s="34"/>
      <c r="S244" s="34"/>
      <c r="T244" s="34"/>
      <c r="U244" s="34"/>
      <c r="V244" s="34"/>
      <c r="W244" s="34"/>
      <c r="X244" s="34"/>
      <c r="Y244" s="34"/>
      <c r="Z244" s="34"/>
      <c r="AA244" s="34"/>
      <c r="AB244" s="34"/>
      <c r="AC244" s="34"/>
      <c r="AD244" s="34"/>
      <c r="AE244" s="34"/>
      <c r="AF244" s="34"/>
      <c r="AG244" s="34"/>
      <c r="AH244" s="34"/>
      <c r="AI244" s="34"/>
      <c r="AJ244" s="34"/>
      <c r="AK244" s="34"/>
    </row>
    <row r="245" spans="1:37">
      <c r="A245" s="3"/>
      <c r="B245" s="3"/>
      <c r="C245" s="3"/>
      <c r="D245" s="3"/>
      <c r="E245" s="3"/>
      <c r="F245" s="34"/>
      <c r="G245" s="34"/>
      <c r="H245" s="34"/>
      <c r="I245" s="34"/>
      <c r="J245" s="34"/>
      <c r="K245" s="34"/>
      <c r="L245" s="34"/>
      <c r="M245" s="34"/>
      <c r="N245" s="34"/>
      <c r="O245" s="34"/>
      <c r="P245" s="34"/>
      <c r="Q245" s="34"/>
      <c r="R245" s="34"/>
      <c r="S245" s="34"/>
      <c r="T245" s="34"/>
      <c r="U245" s="34"/>
      <c r="V245" s="34"/>
      <c r="W245" s="34"/>
      <c r="X245" s="34"/>
      <c r="Y245" s="34"/>
      <c r="Z245" s="34"/>
      <c r="AA245" s="34"/>
      <c r="AB245" s="34"/>
      <c r="AC245" s="34"/>
      <c r="AD245" s="34"/>
      <c r="AE245" s="34"/>
      <c r="AF245" s="34"/>
      <c r="AG245" s="34"/>
      <c r="AH245" s="34"/>
      <c r="AI245" s="34"/>
      <c r="AJ245" s="34"/>
      <c r="AK245" s="34"/>
    </row>
    <row r="246" spans="1:37">
      <c r="A246" s="3"/>
      <c r="B246" s="3"/>
      <c r="C246" s="3"/>
      <c r="D246" s="3"/>
      <c r="E246" s="3"/>
      <c r="F246" s="34"/>
      <c r="G246" s="34"/>
      <c r="H246" s="34"/>
      <c r="I246" s="34"/>
      <c r="J246" s="34"/>
      <c r="K246" s="34"/>
      <c r="L246" s="34"/>
      <c r="M246" s="34"/>
      <c r="N246" s="34"/>
      <c r="O246" s="34"/>
      <c r="P246" s="34"/>
      <c r="Q246" s="34"/>
      <c r="R246" s="34"/>
      <c r="S246" s="34"/>
      <c r="T246" s="34"/>
      <c r="U246" s="34"/>
      <c r="V246" s="34"/>
      <c r="W246" s="34"/>
      <c r="X246" s="34"/>
      <c r="Y246" s="34"/>
      <c r="Z246" s="34"/>
      <c r="AA246" s="34"/>
      <c r="AB246" s="34"/>
      <c r="AC246" s="34"/>
      <c r="AD246" s="34"/>
      <c r="AE246" s="34"/>
      <c r="AF246" s="34"/>
      <c r="AG246" s="34"/>
      <c r="AH246" s="34"/>
      <c r="AI246" s="34"/>
      <c r="AJ246" s="34"/>
      <c r="AK246" s="34"/>
    </row>
    <row r="247" spans="1:37">
      <c r="A247" s="3"/>
      <c r="B247" s="3"/>
      <c r="C247" s="3"/>
      <c r="D247" s="3"/>
      <c r="E247" s="3"/>
      <c r="F247" s="34"/>
      <c r="G247" s="34"/>
      <c r="H247" s="34"/>
      <c r="I247" s="34"/>
      <c r="J247" s="34"/>
      <c r="K247" s="34"/>
      <c r="L247" s="34"/>
      <c r="M247" s="34"/>
      <c r="N247" s="34"/>
      <c r="O247" s="34"/>
      <c r="P247" s="34"/>
      <c r="Q247" s="34"/>
      <c r="R247" s="34"/>
      <c r="S247" s="34"/>
      <c r="T247" s="34"/>
      <c r="U247" s="34"/>
      <c r="V247" s="34"/>
      <c r="W247" s="34"/>
      <c r="X247" s="34"/>
      <c r="Y247" s="34"/>
      <c r="Z247" s="34"/>
      <c r="AA247" s="34"/>
      <c r="AB247" s="34"/>
      <c r="AC247" s="34"/>
      <c r="AD247" s="34"/>
      <c r="AE247" s="34"/>
      <c r="AF247" s="34"/>
      <c r="AG247" s="34"/>
      <c r="AH247" s="34"/>
      <c r="AI247" s="34"/>
      <c r="AJ247" s="34"/>
      <c r="AK247" s="34"/>
    </row>
    <row r="248" spans="1:37">
      <c r="A248" s="3"/>
      <c r="B248" s="3"/>
      <c r="C248" s="3"/>
      <c r="D248" s="3"/>
      <c r="E248" s="3"/>
      <c r="F248" s="34"/>
      <c r="G248" s="34"/>
      <c r="H248" s="34"/>
      <c r="I248" s="34"/>
      <c r="J248" s="34"/>
      <c r="K248" s="34"/>
      <c r="L248" s="34"/>
      <c r="M248" s="34"/>
      <c r="N248" s="34"/>
      <c r="O248" s="34"/>
      <c r="P248" s="34"/>
      <c r="Q248" s="34"/>
      <c r="R248" s="34"/>
      <c r="S248" s="34"/>
      <c r="T248" s="34"/>
      <c r="U248" s="34"/>
      <c r="V248" s="34"/>
      <c r="W248" s="34"/>
      <c r="X248" s="34"/>
      <c r="Y248" s="34"/>
      <c r="Z248" s="34"/>
      <c r="AA248" s="34"/>
      <c r="AB248" s="34"/>
      <c r="AC248" s="34"/>
      <c r="AD248" s="34"/>
      <c r="AE248" s="34"/>
      <c r="AF248" s="34"/>
      <c r="AG248" s="34"/>
      <c r="AH248" s="34"/>
      <c r="AI248" s="34"/>
      <c r="AJ248" s="34"/>
      <c r="AK248" s="34"/>
    </row>
    <row r="249" spans="1:37">
      <c r="A249" s="3"/>
      <c r="B249" s="3"/>
      <c r="C249" s="3"/>
      <c r="D249" s="3"/>
      <c r="E249" s="3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  <c r="AA249" s="34"/>
      <c r="AB249" s="34"/>
      <c r="AC249" s="34"/>
      <c r="AD249" s="34"/>
      <c r="AE249" s="34"/>
      <c r="AF249" s="34"/>
      <c r="AG249" s="34"/>
      <c r="AH249" s="34"/>
      <c r="AI249" s="34"/>
      <c r="AJ249" s="34"/>
      <c r="AK249" s="34"/>
    </row>
    <row r="250" spans="1:37">
      <c r="A250" s="3"/>
      <c r="B250" s="3"/>
      <c r="C250" s="3"/>
      <c r="D250" s="3"/>
      <c r="E250" s="3"/>
      <c r="F250" s="34"/>
      <c r="G250" s="34"/>
      <c r="H250" s="34"/>
      <c r="I250" s="34"/>
      <c r="J250" s="34"/>
      <c r="K250" s="34"/>
      <c r="L250" s="34"/>
      <c r="M250" s="34"/>
      <c r="N250" s="34"/>
      <c r="O250" s="34"/>
      <c r="P250" s="34"/>
      <c r="Q250" s="34"/>
      <c r="R250" s="34"/>
      <c r="S250" s="34"/>
      <c r="T250" s="34"/>
      <c r="U250" s="34"/>
      <c r="V250" s="34"/>
      <c r="W250" s="34"/>
      <c r="X250" s="34"/>
      <c r="Y250" s="34"/>
      <c r="Z250" s="34"/>
      <c r="AA250" s="34"/>
      <c r="AB250" s="34"/>
      <c r="AC250" s="34"/>
      <c r="AD250" s="34"/>
      <c r="AE250" s="34"/>
      <c r="AF250" s="34"/>
      <c r="AG250" s="34"/>
      <c r="AH250" s="34"/>
      <c r="AI250" s="34"/>
      <c r="AJ250" s="34"/>
      <c r="AK250" s="34"/>
    </row>
    <row r="251" spans="1:37">
      <c r="A251" s="3"/>
      <c r="B251" s="3"/>
      <c r="C251" s="3"/>
      <c r="D251" s="3"/>
      <c r="E251" s="3"/>
      <c r="F251" s="34"/>
      <c r="G251" s="34"/>
      <c r="H251" s="34"/>
      <c r="I251" s="34"/>
      <c r="J251" s="34"/>
      <c r="K251" s="34"/>
      <c r="L251" s="34"/>
      <c r="M251" s="34"/>
      <c r="N251" s="34"/>
      <c r="O251" s="34"/>
      <c r="P251" s="34"/>
      <c r="Q251" s="34"/>
      <c r="R251" s="34"/>
      <c r="S251" s="34"/>
      <c r="T251" s="34"/>
      <c r="U251" s="34"/>
      <c r="V251" s="34"/>
      <c r="W251" s="34"/>
      <c r="X251" s="34"/>
      <c r="Y251" s="34"/>
      <c r="Z251" s="34"/>
      <c r="AA251" s="34"/>
      <c r="AB251" s="34"/>
      <c r="AC251" s="34"/>
      <c r="AD251" s="34"/>
      <c r="AE251" s="34"/>
      <c r="AF251" s="34"/>
      <c r="AG251" s="34"/>
      <c r="AH251" s="34"/>
      <c r="AI251" s="34"/>
      <c r="AJ251" s="34"/>
      <c r="AK251" s="34"/>
    </row>
    <row r="252" spans="1:37">
      <c r="A252" s="3"/>
      <c r="B252" s="3"/>
      <c r="C252" s="3"/>
      <c r="D252" s="3"/>
      <c r="E252" s="3"/>
      <c r="F252" s="34"/>
      <c r="G252" s="34"/>
      <c r="H252" s="34"/>
      <c r="I252" s="34"/>
      <c r="J252" s="34"/>
      <c r="K252" s="34"/>
      <c r="L252" s="34"/>
      <c r="M252" s="34"/>
      <c r="N252" s="34"/>
      <c r="O252" s="34"/>
      <c r="P252" s="34"/>
      <c r="Q252" s="34"/>
      <c r="R252" s="34"/>
      <c r="S252" s="34"/>
      <c r="T252" s="34"/>
      <c r="U252" s="34"/>
      <c r="V252" s="34"/>
      <c r="W252" s="34"/>
      <c r="X252" s="34"/>
      <c r="Y252" s="34"/>
      <c r="Z252" s="34"/>
      <c r="AA252" s="34"/>
      <c r="AB252" s="34"/>
      <c r="AC252" s="34"/>
      <c r="AD252" s="34"/>
      <c r="AE252" s="34"/>
      <c r="AF252" s="34"/>
      <c r="AG252" s="34"/>
      <c r="AH252" s="34"/>
      <c r="AI252" s="34"/>
      <c r="AJ252" s="34"/>
      <c r="AK252" s="34"/>
    </row>
    <row r="253" spans="1:37">
      <c r="A253" s="3"/>
      <c r="B253" s="3"/>
      <c r="C253" s="3"/>
      <c r="D253" s="3"/>
      <c r="E253" s="3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4"/>
      <c r="Y253" s="34"/>
      <c r="Z253" s="34"/>
      <c r="AA253" s="34"/>
      <c r="AB253" s="34"/>
      <c r="AC253" s="34"/>
      <c r="AD253" s="34"/>
      <c r="AE253" s="34"/>
      <c r="AF253" s="34"/>
      <c r="AG253" s="34"/>
      <c r="AH253" s="34"/>
      <c r="AI253" s="34"/>
      <c r="AJ253" s="34"/>
      <c r="AK253" s="34"/>
    </row>
    <row r="254" spans="1:37">
      <c r="A254" s="3"/>
      <c r="B254" s="3"/>
      <c r="C254" s="3"/>
      <c r="D254" s="3"/>
      <c r="E254" s="3"/>
      <c r="F254" s="34"/>
      <c r="G254" s="34"/>
      <c r="H254" s="34"/>
      <c r="I254" s="34"/>
      <c r="J254" s="34"/>
      <c r="K254" s="34"/>
      <c r="L254" s="34"/>
      <c r="M254" s="34"/>
      <c r="N254" s="34"/>
      <c r="O254" s="34"/>
      <c r="P254" s="34"/>
      <c r="Q254" s="34"/>
      <c r="R254" s="34"/>
      <c r="S254" s="34"/>
      <c r="T254" s="34"/>
      <c r="U254" s="34"/>
      <c r="V254" s="34"/>
      <c r="W254" s="34"/>
      <c r="X254" s="34"/>
      <c r="Y254" s="34"/>
      <c r="Z254" s="34"/>
      <c r="AA254" s="34"/>
      <c r="AB254" s="34"/>
      <c r="AC254" s="34"/>
      <c r="AD254" s="34"/>
      <c r="AE254" s="34"/>
      <c r="AF254" s="34"/>
      <c r="AG254" s="34"/>
      <c r="AH254" s="34"/>
      <c r="AI254" s="34"/>
      <c r="AJ254" s="34"/>
      <c r="AK254" s="34"/>
    </row>
    <row r="255" spans="1:37">
      <c r="A255" s="3"/>
      <c r="B255" s="3"/>
      <c r="C255" s="3"/>
      <c r="D255" s="3"/>
      <c r="E255" s="3"/>
      <c r="F255" s="34"/>
      <c r="G255" s="34"/>
      <c r="H255" s="34"/>
      <c r="I255" s="34"/>
      <c r="J255" s="34"/>
      <c r="K255" s="34"/>
      <c r="L255" s="34"/>
      <c r="M255" s="34"/>
      <c r="N255" s="34"/>
      <c r="O255" s="34"/>
      <c r="P255" s="34"/>
      <c r="Q255" s="34"/>
      <c r="R255" s="34"/>
      <c r="S255" s="34"/>
      <c r="T255" s="34"/>
      <c r="U255" s="34"/>
      <c r="V255" s="34"/>
      <c r="W255" s="34"/>
      <c r="X255" s="34"/>
      <c r="Y255" s="34"/>
      <c r="Z255" s="34"/>
      <c r="AA255" s="34"/>
      <c r="AB255" s="34"/>
      <c r="AC255" s="34"/>
      <c r="AD255" s="34"/>
      <c r="AE255" s="34"/>
      <c r="AF255" s="34"/>
      <c r="AG255" s="34"/>
      <c r="AH255" s="34"/>
      <c r="AI255" s="34"/>
      <c r="AJ255" s="34"/>
      <c r="AK255" s="34"/>
    </row>
    <row r="256" spans="1:37">
      <c r="A256" s="3"/>
      <c r="B256" s="3"/>
      <c r="C256" s="3"/>
      <c r="D256" s="3"/>
      <c r="E256" s="3"/>
      <c r="F256" s="34"/>
      <c r="G256" s="34"/>
      <c r="H256" s="34"/>
      <c r="I256" s="34"/>
      <c r="J256" s="34"/>
      <c r="K256" s="34"/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4"/>
      <c r="Y256" s="34"/>
      <c r="Z256" s="34"/>
      <c r="AA256" s="34"/>
      <c r="AB256" s="34"/>
      <c r="AC256" s="34"/>
      <c r="AD256" s="34"/>
      <c r="AE256" s="34"/>
      <c r="AF256" s="34"/>
      <c r="AG256" s="34"/>
      <c r="AH256" s="34"/>
      <c r="AI256" s="34"/>
      <c r="AJ256" s="34"/>
      <c r="AK256" s="34"/>
    </row>
    <row r="257" spans="1:37">
      <c r="A257" s="3"/>
      <c r="B257" s="3"/>
      <c r="C257" s="3"/>
      <c r="D257" s="3"/>
      <c r="E257" s="3"/>
      <c r="F257" s="34"/>
      <c r="G257" s="34"/>
      <c r="H257" s="34"/>
      <c r="I257" s="34"/>
      <c r="J257" s="34"/>
      <c r="K257" s="34"/>
      <c r="L257" s="34"/>
      <c r="M257" s="34"/>
      <c r="N257" s="34"/>
      <c r="O257" s="34"/>
      <c r="P257" s="34"/>
      <c r="Q257" s="34"/>
      <c r="R257" s="34"/>
      <c r="S257" s="34"/>
      <c r="T257" s="34"/>
      <c r="U257" s="34"/>
      <c r="V257" s="34"/>
      <c r="W257" s="34"/>
      <c r="X257" s="34"/>
      <c r="Y257" s="34"/>
      <c r="Z257" s="34"/>
      <c r="AA257" s="34"/>
      <c r="AB257" s="34"/>
      <c r="AC257" s="34"/>
      <c r="AD257" s="34"/>
      <c r="AE257" s="34"/>
      <c r="AF257" s="34"/>
      <c r="AG257" s="34"/>
      <c r="AH257" s="34"/>
      <c r="AI257" s="34"/>
      <c r="AJ257" s="34"/>
      <c r="AK257" s="34"/>
    </row>
    <row r="258" spans="1:37">
      <c r="A258" s="3"/>
      <c r="B258" s="3"/>
      <c r="C258" s="3"/>
      <c r="D258" s="3"/>
      <c r="E258" s="3"/>
      <c r="F258" s="34"/>
      <c r="G258" s="34"/>
      <c r="H258" s="34"/>
      <c r="I258" s="34"/>
      <c r="J258" s="34"/>
      <c r="K258" s="34"/>
      <c r="L258" s="34"/>
      <c r="M258" s="34"/>
      <c r="N258" s="34"/>
      <c r="O258" s="34"/>
      <c r="P258" s="34"/>
      <c r="Q258" s="34"/>
      <c r="R258" s="34"/>
      <c r="S258" s="34"/>
      <c r="T258" s="34"/>
      <c r="U258" s="34"/>
      <c r="V258" s="34"/>
      <c r="W258" s="34"/>
      <c r="X258" s="34"/>
      <c r="Y258" s="34"/>
      <c r="Z258" s="34"/>
      <c r="AA258" s="34"/>
      <c r="AB258" s="34"/>
      <c r="AC258" s="34"/>
      <c r="AD258" s="34"/>
      <c r="AE258" s="34"/>
      <c r="AF258" s="34"/>
      <c r="AG258" s="34"/>
      <c r="AH258" s="34"/>
      <c r="AI258" s="34"/>
      <c r="AJ258" s="34"/>
      <c r="AK258" s="34"/>
    </row>
    <row r="259" spans="1:37">
      <c r="A259" s="3"/>
      <c r="B259" s="3"/>
      <c r="C259" s="3"/>
      <c r="D259" s="3"/>
      <c r="E259" s="3"/>
      <c r="F259" s="34"/>
      <c r="G259" s="34"/>
      <c r="H259" s="34"/>
      <c r="I259" s="34"/>
      <c r="J259" s="34"/>
      <c r="K259" s="34"/>
      <c r="L259" s="34"/>
      <c r="M259" s="34"/>
      <c r="N259" s="34"/>
      <c r="O259" s="34"/>
      <c r="P259" s="34"/>
      <c r="Q259" s="34"/>
      <c r="R259" s="34"/>
      <c r="S259" s="34"/>
      <c r="T259" s="34"/>
      <c r="U259" s="34"/>
      <c r="V259" s="34"/>
      <c r="W259" s="34"/>
      <c r="X259" s="34"/>
      <c r="Y259" s="34"/>
      <c r="Z259" s="34"/>
      <c r="AA259" s="34"/>
      <c r="AB259" s="34"/>
      <c r="AC259" s="34"/>
      <c r="AD259" s="34"/>
      <c r="AE259" s="34"/>
      <c r="AF259" s="34"/>
      <c r="AG259" s="34"/>
      <c r="AH259" s="34"/>
      <c r="AI259" s="34"/>
      <c r="AJ259" s="34"/>
      <c r="AK259" s="34"/>
    </row>
    <row r="260" spans="1:37">
      <c r="A260" s="3"/>
      <c r="B260" s="3"/>
      <c r="C260" s="3"/>
      <c r="D260" s="3"/>
      <c r="E260" s="3"/>
      <c r="F260" s="34"/>
      <c r="G260" s="34"/>
      <c r="H260" s="34"/>
      <c r="I260" s="34"/>
      <c r="J260" s="34"/>
      <c r="K260" s="34"/>
      <c r="L260" s="34"/>
      <c r="M260" s="34"/>
      <c r="N260" s="34"/>
      <c r="O260" s="34"/>
      <c r="P260" s="34"/>
      <c r="Q260" s="34"/>
      <c r="R260" s="34"/>
      <c r="S260" s="34"/>
      <c r="T260" s="34"/>
      <c r="U260" s="34"/>
      <c r="V260" s="34"/>
      <c r="W260" s="34"/>
      <c r="X260" s="34"/>
      <c r="Y260" s="34"/>
      <c r="Z260" s="34"/>
      <c r="AA260" s="34"/>
      <c r="AB260" s="34"/>
      <c r="AC260" s="34"/>
      <c r="AD260" s="34"/>
      <c r="AE260" s="34"/>
      <c r="AF260" s="34"/>
      <c r="AG260" s="34"/>
      <c r="AH260" s="34"/>
      <c r="AI260" s="34"/>
      <c r="AJ260" s="34"/>
      <c r="AK260" s="34"/>
    </row>
    <row r="261" spans="1:37">
      <c r="A261" s="3"/>
      <c r="B261" s="3"/>
      <c r="C261" s="3"/>
      <c r="D261" s="3"/>
      <c r="E261" s="3"/>
      <c r="F261" s="34"/>
      <c r="G261" s="34"/>
      <c r="H261" s="34"/>
      <c r="I261" s="34"/>
      <c r="J261" s="34"/>
      <c r="K261" s="34"/>
      <c r="L261" s="34"/>
      <c r="M261" s="34"/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34"/>
      <c r="Y261" s="34"/>
      <c r="Z261" s="34"/>
      <c r="AA261" s="34"/>
      <c r="AB261" s="34"/>
      <c r="AC261" s="34"/>
      <c r="AD261" s="34"/>
      <c r="AE261" s="34"/>
      <c r="AF261" s="34"/>
      <c r="AG261" s="34"/>
      <c r="AH261" s="34"/>
      <c r="AI261" s="34"/>
      <c r="AJ261" s="34"/>
      <c r="AK261" s="34"/>
    </row>
    <row r="262" spans="1:37">
      <c r="A262" s="3"/>
      <c r="B262" s="3"/>
      <c r="C262" s="3"/>
      <c r="D262" s="3"/>
      <c r="E262" s="3"/>
      <c r="F262" s="34"/>
      <c r="G262" s="34"/>
      <c r="H262" s="34"/>
      <c r="I262" s="34"/>
      <c r="J262" s="34"/>
      <c r="K262" s="34"/>
      <c r="L262" s="34"/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4"/>
      <c r="Y262" s="34"/>
      <c r="Z262" s="34"/>
      <c r="AA262" s="34"/>
      <c r="AB262" s="34"/>
      <c r="AC262" s="34"/>
      <c r="AD262" s="34"/>
      <c r="AE262" s="34"/>
      <c r="AF262" s="34"/>
      <c r="AG262" s="34"/>
      <c r="AH262" s="34"/>
      <c r="AI262" s="34"/>
      <c r="AJ262" s="34"/>
      <c r="AK262" s="34"/>
    </row>
    <row r="263" spans="1:37">
      <c r="A263" s="3"/>
      <c r="B263" s="3"/>
      <c r="C263" s="3"/>
      <c r="D263" s="3"/>
      <c r="E263" s="3"/>
      <c r="F263" s="34"/>
      <c r="G263" s="34"/>
      <c r="H263" s="34"/>
      <c r="I263" s="34"/>
      <c r="J263" s="34"/>
      <c r="K263" s="34"/>
      <c r="L263" s="34"/>
      <c r="M263" s="34"/>
      <c r="N263" s="34"/>
      <c r="O263" s="34"/>
      <c r="P263" s="34"/>
      <c r="Q263" s="34"/>
      <c r="R263" s="34"/>
      <c r="S263" s="34"/>
      <c r="T263" s="34"/>
      <c r="U263" s="34"/>
      <c r="V263" s="34"/>
      <c r="W263" s="34"/>
      <c r="X263" s="34"/>
      <c r="Y263" s="34"/>
      <c r="Z263" s="34"/>
      <c r="AA263" s="34"/>
      <c r="AB263" s="34"/>
      <c r="AC263" s="34"/>
      <c r="AD263" s="34"/>
      <c r="AE263" s="34"/>
      <c r="AF263" s="34"/>
      <c r="AG263" s="34"/>
      <c r="AH263" s="34"/>
      <c r="AI263" s="34"/>
      <c r="AJ263" s="34"/>
      <c r="AK263" s="34"/>
    </row>
    <row r="264" spans="1:37">
      <c r="A264" s="3"/>
      <c r="B264" s="3"/>
      <c r="C264" s="3"/>
      <c r="D264" s="3"/>
      <c r="E264" s="3"/>
      <c r="F264" s="34"/>
      <c r="G264" s="34"/>
      <c r="H264" s="34"/>
      <c r="I264" s="34"/>
      <c r="J264" s="34"/>
      <c r="K264" s="34"/>
      <c r="L264" s="34"/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34"/>
      <c r="Y264" s="34"/>
      <c r="Z264" s="34"/>
      <c r="AA264" s="34"/>
      <c r="AB264" s="34"/>
      <c r="AC264" s="34"/>
      <c r="AD264" s="34"/>
      <c r="AE264" s="34"/>
      <c r="AF264" s="34"/>
      <c r="AG264" s="34"/>
      <c r="AH264" s="34"/>
      <c r="AI264" s="34"/>
      <c r="AJ264" s="34"/>
      <c r="AK264" s="34"/>
    </row>
    <row r="265" spans="1:37">
      <c r="A265" s="3"/>
      <c r="B265" s="3"/>
      <c r="C265" s="3"/>
      <c r="D265" s="3"/>
      <c r="E265" s="3"/>
      <c r="F265" s="34"/>
      <c r="G265" s="34"/>
      <c r="H265" s="34"/>
      <c r="I265" s="34"/>
      <c r="J265" s="34"/>
      <c r="K265" s="34"/>
      <c r="L265" s="34"/>
      <c r="M265" s="34"/>
      <c r="N265" s="34"/>
      <c r="O265" s="34"/>
      <c r="P265" s="34"/>
      <c r="Q265" s="34"/>
      <c r="R265" s="34"/>
      <c r="S265" s="34"/>
      <c r="T265" s="34"/>
      <c r="U265" s="34"/>
      <c r="V265" s="34"/>
      <c r="W265" s="34"/>
      <c r="X265" s="34"/>
      <c r="Y265" s="34"/>
      <c r="Z265" s="34"/>
      <c r="AA265" s="34"/>
      <c r="AB265" s="34"/>
      <c r="AC265" s="34"/>
      <c r="AD265" s="34"/>
      <c r="AE265" s="34"/>
      <c r="AF265" s="34"/>
      <c r="AG265" s="34"/>
      <c r="AH265" s="34"/>
      <c r="AI265" s="34"/>
      <c r="AJ265" s="34"/>
      <c r="AK265" s="34"/>
    </row>
    <row r="266" spans="1:37">
      <c r="A266" s="3"/>
      <c r="B266" s="3"/>
      <c r="C266" s="3"/>
      <c r="D266" s="3"/>
      <c r="E266" s="3"/>
      <c r="F266" s="34"/>
      <c r="G266" s="34"/>
      <c r="H266" s="34"/>
      <c r="I266" s="34"/>
      <c r="J266" s="34"/>
      <c r="K266" s="34"/>
      <c r="L266" s="34"/>
      <c r="M266" s="34"/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34"/>
      <c r="Y266" s="34"/>
      <c r="Z266" s="34"/>
      <c r="AA266" s="34"/>
      <c r="AB266" s="34"/>
      <c r="AC266" s="34"/>
      <c r="AD266" s="34"/>
      <c r="AE266" s="34"/>
      <c r="AF266" s="34"/>
      <c r="AG266" s="34"/>
      <c r="AH266" s="34"/>
      <c r="AI266" s="34"/>
      <c r="AJ266" s="34"/>
      <c r="AK266" s="34"/>
    </row>
    <row r="267" spans="1:37">
      <c r="A267" s="3"/>
      <c r="B267" s="3"/>
      <c r="C267" s="3"/>
      <c r="D267" s="3"/>
      <c r="E267" s="3"/>
      <c r="F267" s="34"/>
      <c r="G267" s="34"/>
      <c r="H267" s="34"/>
      <c r="I267" s="34"/>
      <c r="J267" s="34"/>
      <c r="K267" s="34"/>
      <c r="L267" s="34"/>
      <c r="M267" s="34"/>
      <c r="N267" s="34"/>
      <c r="O267" s="34"/>
      <c r="P267" s="34"/>
      <c r="Q267" s="34"/>
      <c r="R267" s="34"/>
      <c r="S267" s="34"/>
      <c r="T267" s="34"/>
      <c r="U267" s="34"/>
      <c r="V267" s="34"/>
      <c r="W267" s="34"/>
      <c r="X267" s="34"/>
      <c r="Y267" s="34"/>
      <c r="Z267" s="34"/>
      <c r="AA267" s="34"/>
      <c r="AB267" s="34"/>
      <c r="AC267" s="34"/>
      <c r="AD267" s="34"/>
      <c r="AE267" s="34"/>
      <c r="AF267" s="34"/>
      <c r="AG267" s="34"/>
      <c r="AH267" s="34"/>
      <c r="AI267" s="34"/>
      <c r="AJ267" s="34"/>
      <c r="AK267" s="34"/>
    </row>
    <row r="268" spans="1:37">
      <c r="A268" s="3"/>
      <c r="B268" s="3"/>
      <c r="C268" s="3"/>
      <c r="D268" s="3"/>
      <c r="E268" s="3"/>
      <c r="F268" s="34"/>
      <c r="G268" s="34"/>
      <c r="H268" s="34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4"/>
      <c r="Y268" s="34"/>
      <c r="Z268" s="34"/>
      <c r="AA268" s="34"/>
      <c r="AB268" s="34"/>
      <c r="AC268" s="34"/>
      <c r="AD268" s="34"/>
      <c r="AE268" s="34"/>
      <c r="AF268" s="34"/>
      <c r="AG268" s="34"/>
      <c r="AH268" s="34"/>
      <c r="AI268" s="34"/>
      <c r="AJ268" s="34"/>
      <c r="AK268" s="34"/>
    </row>
    <row r="269" spans="1:37">
      <c r="A269" s="3"/>
      <c r="B269" s="3"/>
      <c r="C269" s="3"/>
      <c r="D269" s="3"/>
      <c r="E269" s="3"/>
      <c r="F269" s="34"/>
      <c r="G269" s="34"/>
      <c r="H269" s="34"/>
      <c r="I269" s="34"/>
      <c r="J269" s="34"/>
      <c r="K269" s="34"/>
      <c r="L269" s="34"/>
      <c r="M269" s="34"/>
      <c r="N269" s="34"/>
      <c r="O269" s="34"/>
      <c r="P269" s="34"/>
      <c r="Q269" s="34"/>
      <c r="R269" s="34"/>
      <c r="S269" s="34"/>
      <c r="T269" s="34"/>
      <c r="U269" s="34"/>
      <c r="V269" s="34"/>
      <c r="W269" s="34"/>
      <c r="X269" s="34"/>
      <c r="Y269" s="34"/>
      <c r="Z269" s="34"/>
      <c r="AA269" s="34"/>
      <c r="AB269" s="34"/>
      <c r="AC269" s="34"/>
      <c r="AD269" s="34"/>
      <c r="AE269" s="34"/>
      <c r="AF269" s="34"/>
      <c r="AG269" s="34"/>
      <c r="AH269" s="34"/>
      <c r="AI269" s="34"/>
      <c r="AJ269" s="34"/>
      <c r="AK269" s="34"/>
    </row>
    <row r="270" spans="1:37">
      <c r="A270" s="3"/>
      <c r="B270" s="3"/>
      <c r="C270" s="3"/>
      <c r="D270" s="3"/>
      <c r="E270" s="3"/>
      <c r="F270" s="34"/>
      <c r="G270" s="34"/>
      <c r="H270" s="34"/>
      <c r="I270" s="34"/>
      <c r="J270" s="34"/>
      <c r="K270" s="34"/>
      <c r="L270" s="34"/>
      <c r="M270" s="34"/>
      <c r="N270" s="34"/>
      <c r="O270" s="34"/>
      <c r="P270" s="34"/>
      <c r="Q270" s="34"/>
      <c r="R270" s="34"/>
      <c r="S270" s="34"/>
      <c r="T270" s="34"/>
      <c r="U270" s="34"/>
      <c r="V270" s="34"/>
      <c r="W270" s="34"/>
      <c r="X270" s="34"/>
      <c r="Y270" s="34"/>
      <c r="Z270" s="34"/>
      <c r="AA270" s="34"/>
      <c r="AB270" s="34"/>
      <c r="AC270" s="34"/>
      <c r="AD270" s="34"/>
      <c r="AE270" s="34"/>
      <c r="AF270" s="34"/>
      <c r="AG270" s="34"/>
      <c r="AH270" s="34"/>
      <c r="AI270" s="34"/>
      <c r="AJ270" s="34"/>
      <c r="AK270" s="34"/>
    </row>
    <row r="271" spans="1:37">
      <c r="A271" s="3"/>
      <c r="B271" s="3"/>
      <c r="C271" s="3"/>
      <c r="D271" s="3"/>
      <c r="E271" s="3"/>
      <c r="F271" s="34"/>
      <c r="G271" s="34"/>
      <c r="H271" s="34"/>
      <c r="I271" s="34"/>
      <c r="J271" s="34"/>
      <c r="K271" s="34"/>
      <c r="L271" s="34"/>
      <c r="M271" s="34"/>
      <c r="N271" s="34"/>
      <c r="O271" s="34"/>
      <c r="P271" s="34"/>
      <c r="Q271" s="34"/>
      <c r="R271" s="34"/>
      <c r="S271" s="34"/>
      <c r="T271" s="34"/>
      <c r="U271" s="34"/>
      <c r="V271" s="34"/>
      <c r="W271" s="34"/>
      <c r="X271" s="34"/>
      <c r="Y271" s="34"/>
      <c r="Z271" s="34"/>
      <c r="AA271" s="34"/>
      <c r="AB271" s="34"/>
      <c r="AC271" s="34"/>
      <c r="AD271" s="34"/>
      <c r="AE271" s="34"/>
      <c r="AF271" s="34"/>
      <c r="AG271" s="34"/>
      <c r="AH271" s="34"/>
      <c r="AI271" s="34"/>
      <c r="AJ271" s="34"/>
      <c r="AK271" s="34"/>
    </row>
    <row r="272" spans="1:37">
      <c r="A272" s="3"/>
      <c r="B272" s="3"/>
      <c r="C272" s="3"/>
      <c r="D272" s="3"/>
      <c r="E272" s="3"/>
      <c r="F272" s="34"/>
      <c r="G272" s="34"/>
      <c r="H272" s="34"/>
      <c r="I272" s="34"/>
      <c r="J272" s="34"/>
      <c r="K272" s="34"/>
      <c r="L272" s="34"/>
      <c r="M272" s="34"/>
      <c r="N272" s="34"/>
      <c r="O272" s="34"/>
      <c r="P272" s="34"/>
      <c r="Q272" s="34"/>
      <c r="R272" s="34"/>
      <c r="S272" s="34"/>
      <c r="T272" s="34"/>
      <c r="U272" s="34"/>
      <c r="V272" s="34"/>
      <c r="W272" s="34"/>
      <c r="X272" s="34"/>
      <c r="Y272" s="34"/>
      <c r="Z272" s="34"/>
      <c r="AA272" s="34"/>
      <c r="AB272" s="34"/>
      <c r="AC272" s="34"/>
      <c r="AD272" s="34"/>
      <c r="AE272" s="34"/>
      <c r="AF272" s="34"/>
      <c r="AG272" s="34"/>
      <c r="AH272" s="34"/>
      <c r="AI272" s="34"/>
      <c r="AJ272" s="34"/>
      <c r="AK272" s="34"/>
    </row>
    <row r="273" spans="1:37">
      <c r="A273" s="3"/>
      <c r="B273" s="3"/>
      <c r="C273" s="3"/>
      <c r="D273" s="3"/>
      <c r="E273" s="3"/>
      <c r="F273" s="34"/>
      <c r="G273" s="34"/>
      <c r="H273" s="34"/>
      <c r="I273" s="34"/>
      <c r="J273" s="34"/>
      <c r="K273" s="34"/>
      <c r="L273" s="34"/>
      <c r="M273" s="34"/>
      <c r="N273" s="34"/>
      <c r="O273" s="34"/>
      <c r="P273" s="34"/>
      <c r="Q273" s="34"/>
      <c r="R273" s="34"/>
      <c r="S273" s="34"/>
      <c r="T273" s="34"/>
      <c r="U273" s="34"/>
      <c r="V273" s="34"/>
      <c r="W273" s="34"/>
      <c r="X273" s="34"/>
      <c r="Y273" s="34"/>
      <c r="Z273" s="34"/>
      <c r="AA273" s="34"/>
      <c r="AB273" s="34"/>
      <c r="AC273" s="34"/>
      <c r="AD273" s="34"/>
      <c r="AE273" s="34"/>
      <c r="AF273" s="34"/>
      <c r="AG273" s="34"/>
      <c r="AH273" s="34"/>
      <c r="AI273" s="34"/>
      <c r="AJ273" s="34"/>
      <c r="AK273" s="34"/>
    </row>
    <row r="274" spans="1:37">
      <c r="A274" s="3"/>
      <c r="B274" s="3"/>
      <c r="C274" s="3"/>
      <c r="D274" s="3"/>
      <c r="E274" s="3"/>
      <c r="F274" s="34"/>
      <c r="G274" s="34"/>
      <c r="H274" s="34"/>
      <c r="I274" s="34"/>
      <c r="J274" s="34"/>
      <c r="K274" s="34"/>
      <c r="L274" s="34"/>
      <c r="M274" s="34"/>
      <c r="N274" s="34"/>
      <c r="O274" s="34"/>
      <c r="P274" s="34"/>
      <c r="Q274" s="34"/>
      <c r="R274" s="34"/>
      <c r="S274" s="34"/>
      <c r="T274" s="34"/>
      <c r="U274" s="34"/>
      <c r="V274" s="34"/>
      <c r="W274" s="34"/>
      <c r="X274" s="34"/>
      <c r="Y274" s="34"/>
      <c r="Z274" s="34"/>
      <c r="AA274" s="34"/>
      <c r="AB274" s="34"/>
      <c r="AC274" s="34"/>
      <c r="AD274" s="34"/>
      <c r="AE274" s="34"/>
      <c r="AF274" s="34"/>
      <c r="AG274" s="34"/>
      <c r="AH274" s="34"/>
      <c r="AI274" s="34"/>
      <c r="AJ274" s="34"/>
      <c r="AK274" s="34"/>
    </row>
    <row r="275" spans="1:37">
      <c r="A275" s="3"/>
      <c r="B275" s="3"/>
      <c r="C275" s="3"/>
      <c r="D275" s="3"/>
      <c r="E275" s="3"/>
      <c r="F275" s="34"/>
      <c r="G275" s="34"/>
      <c r="H275" s="34"/>
      <c r="I275" s="34"/>
      <c r="J275" s="34"/>
      <c r="K275" s="34"/>
      <c r="L275" s="34"/>
      <c r="M275" s="34"/>
      <c r="N275" s="34"/>
      <c r="O275" s="34"/>
      <c r="P275" s="34"/>
      <c r="Q275" s="34"/>
      <c r="R275" s="34"/>
      <c r="S275" s="34"/>
      <c r="T275" s="34"/>
      <c r="U275" s="34"/>
      <c r="V275" s="34"/>
      <c r="W275" s="34"/>
      <c r="X275" s="34"/>
      <c r="Y275" s="34"/>
      <c r="Z275" s="34"/>
      <c r="AA275" s="34"/>
      <c r="AB275" s="34"/>
      <c r="AC275" s="34"/>
      <c r="AD275" s="34"/>
      <c r="AE275" s="34"/>
      <c r="AF275" s="34"/>
      <c r="AG275" s="34"/>
      <c r="AH275" s="34"/>
      <c r="AI275" s="34"/>
      <c r="AJ275" s="34"/>
      <c r="AK275" s="34"/>
    </row>
    <row r="276" spans="1:37">
      <c r="A276" s="3"/>
      <c r="B276" s="3"/>
      <c r="C276" s="3"/>
      <c r="D276" s="3"/>
      <c r="E276" s="3"/>
      <c r="F276" s="34"/>
      <c r="G276" s="34"/>
      <c r="H276" s="34"/>
      <c r="I276" s="34"/>
      <c r="J276" s="34"/>
      <c r="K276" s="34"/>
      <c r="L276" s="34"/>
      <c r="M276" s="34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34"/>
      <c r="Y276" s="34"/>
      <c r="Z276" s="34"/>
      <c r="AA276" s="34"/>
      <c r="AB276" s="34"/>
      <c r="AC276" s="34"/>
      <c r="AD276" s="34"/>
      <c r="AE276" s="34"/>
      <c r="AF276" s="34"/>
      <c r="AG276" s="34"/>
      <c r="AH276" s="34"/>
      <c r="AI276" s="34"/>
      <c r="AJ276" s="34"/>
      <c r="AK276" s="34"/>
    </row>
    <row r="277" spans="1:37">
      <c r="A277" s="3"/>
      <c r="B277" s="3"/>
      <c r="C277" s="3"/>
      <c r="D277" s="3"/>
      <c r="E277" s="3"/>
      <c r="F277" s="34"/>
      <c r="G277" s="34"/>
      <c r="H277" s="34"/>
      <c r="I277" s="34"/>
      <c r="J277" s="34"/>
      <c r="K277" s="34"/>
      <c r="L277" s="34"/>
      <c r="M277" s="34"/>
      <c r="N277" s="34"/>
      <c r="O277" s="34"/>
      <c r="P277" s="34"/>
      <c r="Q277" s="34"/>
      <c r="R277" s="34"/>
      <c r="S277" s="34"/>
      <c r="T277" s="34"/>
      <c r="U277" s="34"/>
      <c r="V277" s="34"/>
      <c r="W277" s="34"/>
      <c r="X277" s="34"/>
      <c r="Y277" s="34"/>
      <c r="Z277" s="34"/>
      <c r="AA277" s="34"/>
      <c r="AB277" s="34"/>
      <c r="AC277" s="34"/>
      <c r="AD277" s="34"/>
      <c r="AE277" s="34"/>
      <c r="AF277" s="34"/>
      <c r="AG277" s="34"/>
      <c r="AH277" s="34"/>
      <c r="AI277" s="34"/>
      <c r="AJ277" s="34"/>
      <c r="AK277" s="34"/>
    </row>
    <row r="278" spans="1:37">
      <c r="A278" s="3"/>
      <c r="B278" s="3"/>
      <c r="C278" s="3"/>
      <c r="D278" s="3"/>
      <c r="E278" s="3"/>
      <c r="F278" s="34"/>
      <c r="G278" s="34"/>
      <c r="H278" s="34"/>
      <c r="I278" s="34"/>
      <c r="J278" s="34"/>
      <c r="K278" s="34"/>
      <c r="L278" s="34"/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4"/>
      <c r="Y278" s="34"/>
      <c r="Z278" s="34"/>
      <c r="AA278" s="34"/>
      <c r="AB278" s="34"/>
      <c r="AC278" s="34"/>
      <c r="AD278" s="34"/>
      <c r="AE278" s="34"/>
      <c r="AF278" s="34"/>
      <c r="AG278" s="34"/>
      <c r="AH278" s="34"/>
      <c r="AI278" s="34"/>
      <c r="AJ278" s="34"/>
      <c r="AK278" s="34"/>
    </row>
    <row r="279" spans="1:37">
      <c r="A279" s="3"/>
      <c r="B279" s="3"/>
      <c r="C279" s="3"/>
      <c r="D279" s="3"/>
      <c r="E279" s="3"/>
      <c r="F279" s="34"/>
      <c r="G279" s="34"/>
      <c r="H279" s="34"/>
      <c r="I279" s="34"/>
      <c r="J279" s="34"/>
      <c r="K279" s="34"/>
      <c r="L279" s="34"/>
      <c r="M279" s="34"/>
      <c r="N279" s="34"/>
      <c r="O279" s="34"/>
      <c r="P279" s="34"/>
      <c r="Q279" s="34"/>
      <c r="R279" s="34"/>
      <c r="S279" s="34"/>
      <c r="T279" s="34"/>
      <c r="U279" s="34"/>
      <c r="V279" s="34"/>
      <c r="W279" s="34"/>
      <c r="X279" s="34"/>
      <c r="Y279" s="34"/>
      <c r="Z279" s="34"/>
      <c r="AA279" s="34"/>
      <c r="AB279" s="34"/>
      <c r="AC279" s="34"/>
      <c r="AD279" s="34"/>
      <c r="AE279" s="34"/>
      <c r="AF279" s="34"/>
      <c r="AG279" s="34"/>
      <c r="AH279" s="34"/>
      <c r="AI279" s="34"/>
      <c r="AJ279" s="34"/>
      <c r="AK279" s="34"/>
    </row>
    <row r="280" spans="1:37">
      <c r="A280" s="3"/>
      <c r="B280" s="3"/>
      <c r="C280" s="3"/>
      <c r="D280" s="3"/>
      <c r="E280" s="3"/>
      <c r="F280" s="34"/>
      <c r="G280" s="34"/>
      <c r="H280" s="34"/>
      <c r="I280" s="34"/>
      <c r="J280" s="34"/>
      <c r="K280" s="34"/>
      <c r="L280" s="34"/>
      <c r="M280" s="34"/>
      <c r="N280" s="34"/>
      <c r="O280" s="34"/>
      <c r="P280" s="34"/>
      <c r="Q280" s="34"/>
      <c r="R280" s="34"/>
      <c r="S280" s="34"/>
      <c r="T280" s="34"/>
      <c r="U280" s="34"/>
      <c r="V280" s="34"/>
      <c r="W280" s="34"/>
      <c r="X280" s="34"/>
      <c r="Y280" s="34"/>
      <c r="Z280" s="34"/>
      <c r="AA280" s="34"/>
      <c r="AB280" s="34"/>
      <c r="AC280" s="34"/>
      <c r="AD280" s="34"/>
      <c r="AE280" s="34"/>
      <c r="AF280" s="34"/>
      <c r="AG280" s="34"/>
      <c r="AH280" s="34"/>
      <c r="AI280" s="34"/>
      <c r="AJ280" s="34"/>
      <c r="AK280" s="34"/>
    </row>
    <row r="281" spans="1:37">
      <c r="A281" s="3"/>
      <c r="B281" s="3"/>
      <c r="C281" s="3"/>
      <c r="D281" s="3"/>
      <c r="E281" s="3"/>
      <c r="F281" s="34"/>
      <c r="G281" s="34"/>
      <c r="H281" s="34"/>
      <c r="I281" s="34"/>
      <c r="J281" s="34"/>
      <c r="K281" s="34"/>
      <c r="L281" s="34"/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4"/>
      <c r="Y281" s="34"/>
      <c r="Z281" s="34"/>
      <c r="AA281" s="34"/>
      <c r="AB281" s="34"/>
      <c r="AC281" s="34"/>
      <c r="AD281" s="34"/>
      <c r="AE281" s="34"/>
      <c r="AF281" s="34"/>
      <c r="AG281" s="34"/>
      <c r="AH281" s="34"/>
      <c r="AI281" s="34"/>
      <c r="AJ281" s="34"/>
      <c r="AK281" s="34"/>
    </row>
    <row r="282" spans="1:37">
      <c r="A282" s="3"/>
      <c r="B282" s="3"/>
      <c r="C282" s="3"/>
      <c r="D282" s="3"/>
      <c r="E282" s="3"/>
      <c r="F282" s="34"/>
      <c r="G282" s="34"/>
      <c r="H282" s="34"/>
      <c r="I282" s="34"/>
      <c r="J282" s="34"/>
      <c r="K282" s="34"/>
      <c r="L282" s="34"/>
      <c r="M282" s="34"/>
      <c r="N282" s="34"/>
      <c r="O282" s="34"/>
      <c r="P282" s="34"/>
      <c r="Q282" s="34"/>
      <c r="R282" s="34"/>
      <c r="S282" s="34"/>
      <c r="T282" s="34"/>
      <c r="U282" s="34"/>
      <c r="V282" s="34"/>
      <c r="W282" s="34"/>
      <c r="X282" s="34"/>
      <c r="Y282" s="34"/>
      <c r="Z282" s="34"/>
      <c r="AA282" s="34"/>
      <c r="AB282" s="34"/>
      <c r="AC282" s="34"/>
      <c r="AD282" s="34"/>
      <c r="AE282" s="34"/>
      <c r="AF282" s="34"/>
      <c r="AG282" s="34"/>
      <c r="AH282" s="34"/>
      <c r="AI282" s="34"/>
      <c r="AJ282" s="34"/>
      <c r="AK282" s="34"/>
    </row>
    <row r="283" spans="1:37">
      <c r="A283" s="3"/>
      <c r="B283" s="3"/>
      <c r="C283" s="3"/>
      <c r="D283" s="3"/>
      <c r="E283" s="3"/>
      <c r="F283" s="34"/>
      <c r="G283" s="34"/>
      <c r="H283" s="34"/>
      <c r="I283" s="34"/>
      <c r="J283" s="34"/>
      <c r="K283" s="34"/>
      <c r="L283" s="34"/>
      <c r="M283" s="34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4"/>
      <c r="Y283" s="34"/>
      <c r="Z283" s="34"/>
      <c r="AA283" s="34"/>
      <c r="AB283" s="34"/>
      <c r="AC283" s="34"/>
      <c r="AD283" s="34"/>
      <c r="AE283" s="34"/>
      <c r="AF283" s="34"/>
      <c r="AG283" s="34"/>
      <c r="AH283" s="34"/>
      <c r="AI283" s="34"/>
      <c r="AJ283" s="34"/>
      <c r="AK283" s="34"/>
    </row>
    <row r="284" spans="1:37">
      <c r="A284" s="3"/>
      <c r="B284" s="3"/>
      <c r="C284" s="3"/>
      <c r="D284" s="3"/>
      <c r="E284" s="3"/>
      <c r="F284" s="34"/>
      <c r="G284" s="34"/>
      <c r="H284" s="34"/>
      <c r="I284" s="34"/>
      <c r="J284" s="34"/>
      <c r="K284" s="34"/>
      <c r="L284" s="34"/>
      <c r="M284" s="34"/>
      <c r="N284" s="34"/>
      <c r="O284" s="34"/>
      <c r="P284" s="34"/>
      <c r="Q284" s="34"/>
      <c r="R284" s="34"/>
      <c r="S284" s="34"/>
      <c r="T284" s="34"/>
      <c r="U284" s="34"/>
      <c r="V284" s="34"/>
      <c r="W284" s="34"/>
      <c r="X284" s="34"/>
      <c r="Y284" s="34"/>
      <c r="Z284" s="34"/>
      <c r="AA284" s="34"/>
      <c r="AB284" s="34"/>
      <c r="AC284" s="34"/>
      <c r="AD284" s="34"/>
      <c r="AE284" s="34"/>
      <c r="AF284" s="34"/>
      <c r="AG284" s="34"/>
      <c r="AH284" s="34"/>
      <c r="AI284" s="34"/>
      <c r="AJ284" s="34"/>
      <c r="AK284" s="34"/>
    </row>
    <row r="285" spans="1:37">
      <c r="A285" s="3"/>
      <c r="B285" s="3"/>
      <c r="C285" s="3"/>
      <c r="D285" s="3"/>
      <c r="E285" s="3"/>
      <c r="F285" s="34"/>
      <c r="G285" s="34"/>
      <c r="H285" s="34"/>
      <c r="I285" s="34"/>
      <c r="J285" s="34"/>
      <c r="K285" s="34"/>
      <c r="L285" s="34"/>
      <c r="M285" s="34"/>
      <c r="N285" s="34"/>
      <c r="O285" s="34"/>
      <c r="P285" s="34"/>
      <c r="Q285" s="34"/>
      <c r="R285" s="34"/>
      <c r="S285" s="34"/>
      <c r="T285" s="34"/>
      <c r="U285" s="34"/>
      <c r="V285" s="34"/>
      <c r="W285" s="34"/>
      <c r="X285" s="34"/>
      <c r="Y285" s="34"/>
      <c r="Z285" s="34"/>
      <c r="AA285" s="34"/>
      <c r="AB285" s="34"/>
      <c r="AC285" s="34"/>
      <c r="AD285" s="34"/>
      <c r="AE285" s="34"/>
      <c r="AF285" s="34"/>
      <c r="AG285" s="34"/>
      <c r="AH285" s="34"/>
      <c r="AI285" s="34"/>
      <c r="AJ285" s="34"/>
      <c r="AK285" s="34"/>
    </row>
    <row r="286" spans="1:37">
      <c r="A286" s="3"/>
      <c r="B286" s="3"/>
      <c r="C286" s="3"/>
      <c r="D286" s="3"/>
      <c r="E286" s="3"/>
      <c r="F286" s="34"/>
      <c r="G286" s="34"/>
      <c r="H286" s="34"/>
      <c r="I286" s="34"/>
      <c r="J286" s="34"/>
      <c r="K286" s="34"/>
      <c r="L286" s="34"/>
      <c r="M286" s="34"/>
      <c r="N286" s="34"/>
      <c r="O286" s="34"/>
      <c r="P286" s="34"/>
      <c r="Q286" s="34"/>
      <c r="R286" s="34"/>
      <c r="S286" s="34"/>
      <c r="T286" s="34"/>
      <c r="U286" s="34"/>
      <c r="V286" s="34"/>
      <c r="W286" s="34"/>
      <c r="X286" s="34"/>
      <c r="Y286" s="34"/>
      <c r="Z286" s="34"/>
      <c r="AA286" s="34"/>
      <c r="AB286" s="34"/>
      <c r="AC286" s="34"/>
      <c r="AD286" s="34"/>
      <c r="AE286" s="34"/>
      <c r="AF286" s="34"/>
      <c r="AG286" s="34"/>
      <c r="AH286" s="34"/>
      <c r="AI286" s="34"/>
      <c r="AJ286" s="34"/>
      <c r="AK286" s="34"/>
    </row>
    <row r="287" spans="1:37">
      <c r="A287" s="3"/>
      <c r="B287" s="3"/>
      <c r="C287" s="3"/>
      <c r="D287" s="3"/>
      <c r="E287" s="3"/>
      <c r="F287" s="34"/>
      <c r="G287" s="34"/>
      <c r="H287" s="34"/>
      <c r="I287" s="34"/>
      <c r="J287" s="34"/>
      <c r="K287" s="34"/>
      <c r="L287" s="34"/>
      <c r="M287" s="34"/>
      <c r="N287" s="34"/>
      <c r="O287" s="34"/>
      <c r="P287" s="34"/>
      <c r="Q287" s="34"/>
      <c r="R287" s="34"/>
      <c r="S287" s="34"/>
      <c r="T287" s="34"/>
      <c r="U287" s="34"/>
      <c r="V287" s="34"/>
      <c r="W287" s="34"/>
      <c r="X287" s="34"/>
      <c r="Y287" s="34"/>
      <c r="Z287" s="34"/>
      <c r="AA287" s="34"/>
      <c r="AB287" s="34"/>
      <c r="AC287" s="34"/>
      <c r="AD287" s="34"/>
      <c r="AE287" s="34"/>
      <c r="AF287" s="34"/>
      <c r="AG287" s="34"/>
      <c r="AH287" s="34"/>
      <c r="AI287" s="34"/>
      <c r="AJ287" s="34"/>
      <c r="AK287" s="34"/>
    </row>
    <row r="288" spans="1:37">
      <c r="A288" s="3"/>
      <c r="B288" s="3"/>
      <c r="C288" s="3"/>
      <c r="D288" s="3"/>
      <c r="E288" s="3"/>
      <c r="F288" s="34"/>
      <c r="G288" s="34"/>
      <c r="H288" s="34"/>
      <c r="I288" s="34"/>
      <c r="J288" s="34"/>
      <c r="K288" s="34"/>
      <c r="L288" s="34"/>
      <c r="M288" s="34"/>
      <c r="N288" s="34"/>
      <c r="O288" s="34"/>
      <c r="P288" s="34"/>
      <c r="Q288" s="34"/>
      <c r="R288" s="34"/>
      <c r="S288" s="34"/>
      <c r="T288" s="34"/>
      <c r="U288" s="34"/>
      <c r="V288" s="34"/>
      <c r="W288" s="34"/>
      <c r="X288" s="34"/>
      <c r="Y288" s="34"/>
      <c r="Z288" s="34"/>
      <c r="AA288" s="34"/>
      <c r="AB288" s="34"/>
      <c r="AC288" s="34"/>
      <c r="AD288" s="34"/>
      <c r="AE288" s="34"/>
      <c r="AF288" s="34"/>
      <c r="AG288" s="34"/>
      <c r="AH288" s="34"/>
      <c r="AI288" s="34"/>
      <c r="AJ288" s="34"/>
      <c r="AK288" s="34"/>
    </row>
    <row r="289" spans="1:37">
      <c r="A289" s="3"/>
      <c r="B289" s="3"/>
      <c r="C289" s="3"/>
      <c r="D289" s="3"/>
      <c r="E289" s="3"/>
      <c r="F289" s="34"/>
      <c r="G289" s="34"/>
      <c r="H289" s="34"/>
      <c r="I289" s="34"/>
      <c r="J289" s="34"/>
      <c r="K289" s="34"/>
      <c r="L289" s="34"/>
      <c r="M289" s="34"/>
      <c r="N289" s="34"/>
      <c r="O289" s="34"/>
      <c r="P289" s="34"/>
      <c r="Q289" s="34"/>
      <c r="R289" s="34"/>
      <c r="S289" s="34"/>
      <c r="T289" s="34"/>
      <c r="U289" s="34"/>
      <c r="V289" s="34"/>
      <c r="W289" s="34"/>
      <c r="X289" s="34"/>
      <c r="Y289" s="34"/>
      <c r="Z289" s="34"/>
      <c r="AA289" s="34"/>
      <c r="AB289" s="34"/>
      <c r="AC289" s="34"/>
      <c r="AD289" s="34"/>
      <c r="AE289" s="34"/>
      <c r="AF289" s="34"/>
      <c r="AG289" s="34"/>
      <c r="AH289" s="34"/>
      <c r="AI289" s="34"/>
      <c r="AJ289" s="34"/>
      <c r="AK289" s="34"/>
    </row>
    <row r="290" spans="1:37">
      <c r="A290" s="3"/>
      <c r="B290" s="3"/>
      <c r="C290" s="3"/>
      <c r="D290" s="3"/>
      <c r="E290" s="3"/>
      <c r="F290" s="34"/>
      <c r="G290" s="34"/>
      <c r="H290" s="34"/>
      <c r="I290" s="34"/>
      <c r="J290" s="34"/>
      <c r="K290" s="34"/>
      <c r="L290" s="34"/>
      <c r="M290" s="34"/>
      <c r="N290" s="34"/>
      <c r="O290" s="34"/>
      <c r="P290" s="34"/>
      <c r="Q290" s="34"/>
      <c r="R290" s="34"/>
      <c r="S290" s="34"/>
      <c r="T290" s="34"/>
      <c r="U290" s="34"/>
      <c r="V290" s="34"/>
      <c r="W290" s="34"/>
      <c r="X290" s="34"/>
      <c r="Y290" s="34"/>
      <c r="Z290" s="34"/>
      <c r="AA290" s="34"/>
      <c r="AB290" s="34"/>
      <c r="AC290" s="34"/>
      <c r="AD290" s="34"/>
      <c r="AE290" s="34"/>
      <c r="AF290" s="34"/>
      <c r="AG290" s="34"/>
      <c r="AH290" s="34"/>
      <c r="AI290" s="34"/>
      <c r="AJ290" s="34"/>
      <c r="AK290" s="34"/>
    </row>
    <row r="291" spans="1:37">
      <c r="A291" s="3"/>
      <c r="B291" s="3"/>
      <c r="C291" s="3"/>
      <c r="D291" s="3"/>
      <c r="E291" s="3"/>
      <c r="F291" s="34"/>
      <c r="G291" s="34"/>
      <c r="H291" s="34"/>
      <c r="I291" s="34"/>
      <c r="J291" s="34"/>
      <c r="K291" s="34"/>
      <c r="L291" s="34"/>
      <c r="M291" s="34"/>
      <c r="N291" s="34"/>
      <c r="O291" s="34"/>
      <c r="P291" s="34"/>
      <c r="Q291" s="34"/>
      <c r="R291" s="34"/>
      <c r="S291" s="34"/>
      <c r="T291" s="34"/>
      <c r="U291" s="34"/>
      <c r="V291" s="34"/>
      <c r="W291" s="34"/>
      <c r="X291" s="34"/>
      <c r="Y291" s="34"/>
      <c r="Z291" s="34"/>
      <c r="AA291" s="34"/>
      <c r="AB291" s="34"/>
      <c r="AC291" s="34"/>
      <c r="AD291" s="34"/>
      <c r="AE291" s="34"/>
      <c r="AF291" s="34"/>
      <c r="AG291" s="34"/>
      <c r="AH291" s="34"/>
      <c r="AI291" s="34"/>
      <c r="AJ291" s="34"/>
      <c r="AK291" s="34"/>
    </row>
    <row r="292" spans="1:37">
      <c r="A292" s="3"/>
      <c r="B292" s="3"/>
      <c r="C292" s="3"/>
      <c r="D292" s="3"/>
      <c r="E292" s="3"/>
      <c r="F292" s="34"/>
      <c r="G292" s="34"/>
      <c r="H292" s="34"/>
      <c r="I292" s="34"/>
      <c r="J292" s="34"/>
      <c r="K292" s="34"/>
      <c r="L292" s="34"/>
      <c r="M292" s="34"/>
      <c r="N292" s="34"/>
      <c r="O292" s="34"/>
      <c r="P292" s="34"/>
      <c r="Q292" s="34"/>
      <c r="R292" s="34"/>
      <c r="S292" s="34"/>
      <c r="T292" s="34"/>
      <c r="U292" s="34"/>
      <c r="V292" s="34"/>
      <c r="W292" s="34"/>
      <c r="X292" s="34"/>
      <c r="Y292" s="34"/>
      <c r="Z292" s="34"/>
      <c r="AA292" s="34"/>
      <c r="AB292" s="34"/>
      <c r="AC292" s="34"/>
      <c r="AD292" s="34"/>
      <c r="AE292" s="34"/>
      <c r="AF292" s="34"/>
      <c r="AG292" s="34"/>
      <c r="AH292" s="34"/>
      <c r="AI292" s="34"/>
      <c r="AJ292" s="34"/>
      <c r="AK292" s="34"/>
    </row>
    <row r="293" spans="1:37">
      <c r="A293" s="3"/>
      <c r="B293" s="3"/>
      <c r="C293" s="3"/>
      <c r="D293" s="3"/>
      <c r="E293" s="3"/>
      <c r="F293" s="34"/>
      <c r="G293" s="34"/>
      <c r="H293" s="34"/>
      <c r="I293" s="34"/>
      <c r="J293" s="34"/>
      <c r="K293" s="34"/>
      <c r="L293" s="34"/>
      <c r="M293" s="34"/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34"/>
      <c r="Y293" s="34"/>
      <c r="Z293" s="34"/>
      <c r="AA293" s="34"/>
      <c r="AB293" s="34"/>
      <c r="AC293" s="34"/>
      <c r="AD293" s="34"/>
      <c r="AE293" s="34"/>
      <c r="AF293" s="34"/>
      <c r="AG293" s="34"/>
      <c r="AH293" s="34"/>
      <c r="AI293" s="34"/>
      <c r="AJ293" s="34"/>
      <c r="AK293" s="34"/>
    </row>
    <row r="294" spans="1:37">
      <c r="A294" s="3"/>
      <c r="B294" s="3"/>
      <c r="C294" s="3"/>
      <c r="D294" s="3"/>
      <c r="E294" s="3"/>
      <c r="F294" s="34"/>
      <c r="G294" s="34"/>
      <c r="H294" s="34"/>
      <c r="I294" s="34"/>
      <c r="J294" s="34"/>
      <c r="K294" s="34"/>
      <c r="L294" s="34"/>
      <c r="M294" s="34"/>
      <c r="N294" s="34"/>
      <c r="O294" s="34"/>
      <c r="P294" s="34"/>
      <c r="Q294" s="34"/>
      <c r="R294" s="34"/>
      <c r="S294" s="34"/>
      <c r="T294" s="34"/>
      <c r="U294" s="34"/>
      <c r="V294" s="34"/>
      <c r="W294" s="34"/>
      <c r="X294" s="34"/>
      <c r="Y294" s="34"/>
      <c r="Z294" s="34"/>
      <c r="AA294" s="34"/>
      <c r="AB294" s="34"/>
      <c r="AC294" s="34"/>
      <c r="AD294" s="34"/>
      <c r="AE294" s="34"/>
      <c r="AF294" s="34"/>
      <c r="AG294" s="34"/>
      <c r="AH294" s="34"/>
      <c r="AI294" s="34"/>
      <c r="AJ294" s="34"/>
      <c r="AK294" s="34"/>
    </row>
    <row r="295" spans="1:37">
      <c r="A295" s="3"/>
      <c r="B295" s="3"/>
      <c r="C295" s="3"/>
      <c r="D295" s="3"/>
      <c r="E295" s="3"/>
      <c r="F295" s="34"/>
      <c r="G295" s="34"/>
      <c r="H295" s="34"/>
      <c r="I295" s="34"/>
      <c r="J295" s="34"/>
      <c r="K295" s="34"/>
      <c r="L295" s="34"/>
      <c r="M295" s="34"/>
      <c r="N295" s="34"/>
      <c r="O295" s="34"/>
      <c r="P295" s="34"/>
      <c r="Q295" s="34"/>
      <c r="R295" s="34"/>
      <c r="S295" s="34"/>
      <c r="T295" s="34"/>
      <c r="U295" s="34"/>
      <c r="V295" s="34"/>
      <c r="W295" s="34"/>
      <c r="X295" s="34"/>
      <c r="Y295" s="34"/>
      <c r="Z295" s="34"/>
      <c r="AA295" s="34"/>
      <c r="AB295" s="34"/>
      <c r="AC295" s="34"/>
      <c r="AD295" s="34"/>
      <c r="AE295" s="34"/>
      <c r="AF295" s="34"/>
      <c r="AG295" s="34"/>
      <c r="AH295" s="34"/>
      <c r="AI295" s="34"/>
      <c r="AJ295" s="34"/>
      <c r="AK295" s="34"/>
    </row>
    <row r="296" spans="1:37">
      <c r="A296" s="3"/>
      <c r="B296" s="3"/>
      <c r="C296" s="3"/>
      <c r="D296" s="3"/>
      <c r="E296" s="3"/>
      <c r="F296" s="34"/>
      <c r="G296" s="34"/>
      <c r="H296" s="34"/>
      <c r="I296" s="34"/>
      <c r="J296" s="34"/>
      <c r="K296" s="34"/>
      <c r="L296" s="34"/>
      <c r="M296" s="34"/>
      <c r="N296" s="34"/>
      <c r="O296" s="34"/>
      <c r="P296" s="34"/>
      <c r="Q296" s="34"/>
      <c r="R296" s="34"/>
      <c r="S296" s="34"/>
      <c r="T296" s="34"/>
      <c r="U296" s="34"/>
      <c r="V296" s="34"/>
      <c r="W296" s="34"/>
      <c r="X296" s="34"/>
      <c r="Y296" s="34"/>
      <c r="Z296" s="34"/>
      <c r="AA296" s="34"/>
      <c r="AB296" s="34"/>
      <c r="AC296" s="34"/>
      <c r="AD296" s="34"/>
      <c r="AE296" s="34"/>
      <c r="AF296" s="34"/>
      <c r="AG296" s="34"/>
      <c r="AH296" s="34"/>
      <c r="AI296" s="34"/>
      <c r="AJ296" s="34"/>
      <c r="AK296" s="34"/>
    </row>
    <row r="297" spans="1:37">
      <c r="A297" s="3"/>
      <c r="B297" s="3"/>
      <c r="C297" s="3"/>
      <c r="D297" s="3"/>
      <c r="E297" s="3"/>
      <c r="F297" s="34"/>
      <c r="G297" s="34"/>
      <c r="H297" s="34"/>
      <c r="I297" s="34"/>
      <c r="J297" s="34"/>
      <c r="K297" s="34"/>
      <c r="L297" s="34"/>
      <c r="M297" s="34"/>
      <c r="N297" s="34"/>
      <c r="O297" s="34"/>
      <c r="P297" s="34"/>
      <c r="Q297" s="34"/>
      <c r="R297" s="34"/>
      <c r="S297" s="34"/>
      <c r="T297" s="34"/>
      <c r="U297" s="34"/>
      <c r="V297" s="34"/>
      <c r="W297" s="34"/>
      <c r="X297" s="34"/>
      <c r="Y297" s="34"/>
      <c r="Z297" s="34"/>
      <c r="AA297" s="34"/>
      <c r="AB297" s="34"/>
      <c r="AC297" s="34"/>
      <c r="AD297" s="34"/>
      <c r="AE297" s="34"/>
      <c r="AF297" s="34"/>
      <c r="AG297" s="34"/>
      <c r="AH297" s="34"/>
      <c r="AI297" s="34"/>
      <c r="AJ297" s="34"/>
      <c r="AK297" s="34"/>
    </row>
    <row r="298" spans="1:37">
      <c r="A298" s="3"/>
      <c r="B298" s="3"/>
      <c r="C298" s="3"/>
      <c r="D298" s="3"/>
      <c r="E298" s="3"/>
      <c r="F298" s="34"/>
      <c r="G298" s="34"/>
      <c r="H298" s="34"/>
      <c r="I298" s="34"/>
      <c r="J298" s="34"/>
      <c r="K298" s="34"/>
      <c r="L298" s="34"/>
      <c r="M298" s="34"/>
      <c r="N298" s="34"/>
      <c r="O298" s="34"/>
      <c r="P298" s="34"/>
      <c r="Q298" s="34"/>
      <c r="R298" s="34"/>
      <c r="S298" s="34"/>
      <c r="T298" s="34"/>
      <c r="U298" s="34"/>
      <c r="V298" s="34"/>
      <c r="W298" s="34"/>
      <c r="X298" s="34"/>
      <c r="Y298" s="34"/>
      <c r="Z298" s="34"/>
      <c r="AA298" s="34"/>
      <c r="AB298" s="34"/>
      <c r="AC298" s="34"/>
      <c r="AD298" s="34"/>
      <c r="AE298" s="34"/>
      <c r="AF298" s="34"/>
      <c r="AG298" s="34"/>
      <c r="AH298" s="34"/>
      <c r="AI298" s="34"/>
      <c r="AJ298" s="34"/>
      <c r="AK298" s="34"/>
    </row>
    <row r="299" spans="1:37">
      <c r="A299" s="3"/>
      <c r="B299" s="3"/>
      <c r="C299" s="3"/>
      <c r="D299" s="3"/>
      <c r="E299" s="3"/>
      <c r="F299" s="34"/>
      <c r="G299" s="34"/>
      <c r="H299" s="34"/>
      <c r="I299" s="34"/>
      <c r="J299" s="34"/>
      <c r="K299" s="34"/>
      <c r="L299" s="34"/>
      <c r="M299" s="34"/>
      <c r="N299" s="34"/>
      <c r="O299" s="34"/>
      <c r="P299" s="34"/>
      <c r="Q299" s="34"/>
      <c r="R299" s="34"/>
      <c r="S299" s="34"/>
      <c r="T299" s="34"/>
      <c r="U299" s="34"/>
      <c r="V299" s="34"/>
      <c r="W299" s="34"/>
      <c r="X299" s="34"/>
      <c r="Y299" s="34"/>
      <c r="Z299" s="34"/>
      <c r="AA299" s="34"/>
      <c r="AB299" s="34"/>
      <c r="AC299" s="34"/>
      <c r="AD299" s="34"/>
      <c r="AE299" s="34"/>
      <c r="AF299" s="34"/>
      <c r="AG299" s="34"/>
      <c r="AH299" s="34"/>
      <c r="AI299" s="34"/>
      <c r="AJ299" s="34"/>
      <c r="AK299" s="34"/>
    </row>
    <row r="300" spans="1:37">
      <c r="A300" s="3"/>
      <c r="B300" s="3"/>
      <c r="C300" s="3"/>
      <c r="D300" s="3"/>
      <c r="E300" s="3"/>
      <c r="F300" s="34"/>
      <c r="G300" s="34"/>
      <c r="H300" s="34"/>
      <c r="I300" s="34"/>
      <c r="J300" s="34"/>
      <c r="K300" s="34"/>
      <c r="L300" s="34"/>
      <c r="M300" s="34"/>
      <c r="N300" s="34"/>
      <c r="O300" s="34"/>
      <c r="P300" s="34"/>
      <c r="Q300" s="34"/>
      <c r="R300" s="34"/>
      <c r="S300" s="34"/>
      <c r="T300" s="34"/>
      <c r="U300" s="34"/>
      <c r="V300" s="34"/>
      <c r="W300" s="34"/>
      <c r="X300" s="34"/>
      <c r="Y300" s="34"/>
      <c r="Z300" s="34"/>
      <c r="AA300" s="34"/>
      <c r="AB300" s="34"/>
      <c r="AC300" s="34"/>
      <c r="AD300" s="34"/>
      <c r="AE300" s="34"/>
      <c r="AF300" s="34"/>
      <c r="AG300" s="34"/>
      <c r="AH300" s="34"/>
      <c r="AI300" s="34"/>
      <c r="AJ300" s="34"/>
      <c r="AK300" s="34"/>
    </row>
    <row r="301" spans="1:37">
      <c r="A301" s="3"/>
      <c r="B301" s="3"/>
      <c r="C301" s="3"/>
      <c r="D301" s="3"/>
      <c r="E301" s="3"/>
      <c r="F301" s="34"/>
      <c r="G301" s="34"/>
      <c r="H301" s="34"/>
      <c r="I301" s="34"/>
      <c r="J301" s="34"/>
      <c r="K301" s="34"/>
      <c r="L301" s="34"/>
      <c r="M301" s="34"/>
      <c r="N301" s="34"/>
      <c r="O301" s="34"/>
      <c r="P301" s="34"/>
      <c r="Q301" s="34"/>
      <c r="R301" s="34"/>
      <c r="S301" s="34"/>
      <c r="T301" s="34"/>
      <c r="U301" s="34"/>
      <c r="V301" s="34"/>
      <c r="W301" s="34"/>
      <c r="X301" s="34"/>
      <c r="Y301" s="34"/>
      <c r="Z301" s="34"/>
      <c r="AA301" s="34"/>
      <c r="AB301" s="34"/>
      <c r="AC301" s="34"/>
      <c r="AD301" s="34"/>
      <c r="AE301" s="34"/>
      <c r="AF301" s="34"/>
      <c r="AG301" s="34"/>
      <c r="AH301" s="34"/>
      <c r="AI301" s="34"/>
      <c r="AJ301" s="34"/>
      <c r="AK301" s="34"/>
    </row>
    <row r="302" spans="1:37">
      <c r="A302" s="3"/>
      <c r="B302" s="3"/>
      <c r="C302" s="3"/>
      <c r="D302" s="3"/>
      <c r="E302" s="3"/>
      <c r="F302" s="34"/>
      <c r="G302" s="34"/>
      <c r="H302" s="34"/>
      <c r="I302" s="34"/>
      <c r="J302" s="34"/>
      <c r="K302" s="34"/>
      <c r="L302" s="34"/>
      <c r="M302" s="34"/>
      <c r="N302" s="34"/>
      <c r="O302" s="34"/>
      <c r="P302" s="34"/>
      <c r="Q302" s="34"/>
      <c r="R302" s="34"/>
      <c r="S302" s="34"/>
      <c r="T302" s="34"/>
      <c r="U302" s="34"/>
      <c r="V302" s="34"/>
      <c r="W302" s="34"/>
      <c r="X302" s="34"/>
      <c r="Y302" s="34"/>
      <c r="Z302" s="34"/>
      <c r="AA302" s="34"/>
      <c r="AB302" s="34"/>
      <c r="AC302" s="34"/>
      <c r="AD302" s="34"/>
      <c r="AE302" s="34"/>
      <c r="AF302" s="34"/>
      <c r="AG302" s="34"/>
      <c r="AH302" s="34"/>
      <c r="AI302" s="34"/>
      <c r="AJ302" s="34"/>
      <c r="AK302" s="34"/>
    </row>
    <row r="303" spans="1:37">
      <c r="A303" s="3"/>
      <c r="B303" s="3"/>
      <c r="C303" s="3"/>
      <c r="D303" s="3"/>
      <c r="E303" s="3"/>
      <c r="F303" s="34"/>
      <c r="G303" s="34"/>
      <c r="H303" s="34"/>
      <c r="I303" s="34"/>
      <c r="J303" s="34"/>
      <c r="K303" s="34"/>
      <c r="L303" s="34"/>
      <c r="M303" s="34"/>
      <c r="N303" s="34"/>
      <c r="O303" s="34"/>
      <c r="P303" s="34"/>
      <c r="Q303" s="34"/>
      <c r="R303" s="34"/>
      <c r="S303" s="34"/>
      <c r="T303" s="34"/>
      <c r="U303" s="34"/>
      <c r="V303" s="34"/>
      <c r="W303" s="34"/>
      <c r="X303" s="34"/>
      <c r="Y303" s="34"/>
      <c r="Z303" s="34"/>
      <c r="AA303" s="34"/>
      <c r="AB303" s="34"/>
      <c r="AC303" s="34"/>
      <c r="AD303" s="34"/>
      <c r="AE303" s="34"/>
      <c r="AF303" s="34"/>
      <c r="AG303" s="34"/>
      <c r="AH303" s="34"/>
      <c r="AI303" s="34"/>
      <c r="AJ303" s="34"/>
      <c r="AK303" s="34"/>
    </row>
    <row r="304" spans="1:37">
      <c r="A304" s="3"/>
      <c r="B304" s="3"/>
      <c r="C304" s="3"/>
      <c r="D304" s="3"/>
      <c r="E304" s="3"/>
      <c r="F304" s="34"/>
      <c r="G304" s="34"/>
      <c r="H304" s="34"/>
      <c r="I304" s="34"/>
      <c r="J304" s="34"/>
      <c r="K304" s="34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4"/>
      <c r="Y304" s="34"/>
      <c r="Z304" s="34"/>
      <c r="AA304" s="34"/>
      <c r="AB304" s="34"/>
      <c r="AC304" s="34"/>
      <c r="AD304" s="34"/>
      <c r="AE304" s="34"/>
      <c r="AF304" s="34"/>
      <c r="AG304" s="34"/>
      <c r="AH304" s="34"/>
      <c r="AI304" s="34"/>
      <c r="AJ304" s="34"/>
      <c r="AK304" s="34"/>
    </row>
    <row r="305" spans="1:37">
      <c r="A305" s="3"/>
      <c r="B305" s="3"/>
      <c r="C305" s="3"/>
      <c r="D305" s="3"/>
      <c r="E305" s="3"/>
      <c r="F305" s="34"/>
      <c r="G305" s="34"/>
      <c r="H305" s="34"/>
      <c r="I305" s="34"/>
      <c r="J305" s="34"/>
      <c r="K305" s="34"/>
      <c r="L305" s="34"/>
      <c r="M305" s="34"/>
      <c r="N305" s="34"/>
      <c r="O305" s="34"/>
      <c r="P305" s="34"/>
      <c r="Q305" s="34"/>
      <c r="R305" s="34"/>
      <c r="S305" s="34"/>
      <c r="T305" s="34"/>
      <c r="U305" s="34"/>
      <c r="V305" s="34"/>
      <c r="W305" s="34"/>
      <c r="X305" s="34"/>
      <c r="Y305" s="34"/>
      <c r="Z305" s="34"/>
      <c r="AA305" s="34"/>
      <c r="AB305" s="34"/>
      <c r="AC305" s="34"/>
      <c r="AD305" s="34"/>
      <c r="AE305" s="34"/>
      <c r="AF305" s="34"/>
      <c r="AG305" s="34"/>
      <c r="AH305" s="34"/>
      <c r="AI305" s="34"/>
      <c r="AJ305" s="34"/>
      <c r="AK305" s="34"/>
    </row>
    <row r="306" spans="1:37">
      <c r="A306" s="3"/>
      <c r="B306" s="3"/>
      <c r="C306" s="3"/>
      <c r="D306" s="3"/>
      <c r="E306" s="3"/>
      <c r="F306" s="34"/>
      <c r="G306" s="34"/>
      <c r="H306" s="34"/>
      <c r="I306" s="34"/>
      <c r="J306" s="34"/>
      <c r="K306" s="34"/>
      <c r="L306" s="34"/>
      <c r="M306" s="34"/>
      <c r="N306" s="34"/>
      <c r="O306" s="34"/>
      <c r="P306" s="34"/>
      <c r="Q306" s="34"/>
      <c r="R306" s="34"/>
      <c r="S306" s="34"/>
      <c r="T306" s="34"/>
      <c r="U306" s="34"/>
      <c r="V306" s="34"/>
      <c r="W306" s="34"/>
      <c r="X306" s="34"/>
      <c r="Y306" s="34"/>
      <c r="Z306" s="34"/>
      <c r="AA306" s="34"/>
      <c r="AB306" s="34"/>
      <c r="AC306" s="34"/>
      <c r="AD306" s="34"/>
      <c r="AE306" s="34"/>
      <c r="AF306" s="34"/>
      <c r="AG306" s="34"/>
      <c r="AH306" s="34"/>
      <c r="AI306" s="34"/>
      <c r="AJ306" s="34"/>
      <c r="AK306" s="34"/>
    </row>
    <row r="307" spans="1:37">
      <c r="A307" s="3"/>
      <c r="B307" s="3"/>
      <c r="C307" s="3"/>
      <c r="D307" s="3"/>
      <c r="E307" s="3"/>
      <c r="F307" s="34"/>
      <c r="G307" s="34"/>
      <c r="H307" s="34"/>
      <c r="I307" s="34"/>
      <c r="J307" s="34"/>
      <c r="K307" s="34"/>
      <c r="L307" s="34"/>
      <c r="M307" s="34"/>
      <c r="N307" s="34"/>
      <c r="O307" s="34"/>
      <c r="P307" s="34"/>
      <c r="Q307" s="34"/>
      <c r="R307" s="34"/>
      <c r="S307" s="34"/>
      <c r="T307" s="34"/>
      <c r="U307" s="34"/>
      <c r="V307" s="34"/>
      <c r="W307" s="34"/>
      <c r="X307" s="34"/>
      <c r="Y307" s="34"/>
      <c r="Z307" s="34"/>
      <c r="AA307" s="34"/>
      <c r="AB307" s="34"/>
      <c r="AC307" s="34"/>
      <c r="AD307" s="34"/>
      <c r="AE307" s="34"/>
      <c r="AF307" s="34"/>
      <c r="AG307" s="34"/>
      <c r="AH307" s="34"/>
      <c r="AI307" s="34"/>
      <c r="AJ307" s="34"/>
      <c r="AK307" s="34"/>
    </row>
    <row r="308" spans="1:37">
      <c r="A308" s="3"/>
      <c r="B308" s="3"/>
      <c r="C308" s="3"/>
      <c r="D308" s="3"/>
      <c r="E308" s="3"/>
      <c r="F308" s="34"/>
      <c r="G308" s="34"/>
      <c r="H308" s="34"/>
      <c r="I308" s="34"/>
      <c r="J308" s="34"/>
      <c r="K308" s="34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4"/>
      <c r="Y308" s="34"/>
      <c r="Z308" s="34"/>
      <c r="AA308" s="34"/>
      <c r="AB308" s="34"/>
      <c r="AC308" s="34"/>
      <c r="AD308" s="34"/>
      <c r="AE308" s="34"/>
      <c r="AF308" s="34"/>
      <c r="AG308" s="34"/>
      <c r="AH308" s="34"/>
      <c r="AI308" s="34"/>
      <c r="AJ308" s="34"/>
      <c r="AK308" s="34"/>
    </row>
    <row r="309" spans="1:37">
      <c r="A309" s="3"/>
      <c r="B309" s="3"/>
      <c r="C309" s="3"/>
      <c r="D309" s="3"/>
      <c r="E309" s="3"/>
      <c r="F309" s="34"/>
      <c r="G309" s="34"/>
      <c r="H309" s="34"/>
      <c r="I309" s="34"/>
      <c r="J309" s="34"/>
      <c r="K309" s="34"/>
      <c r="L309" s="34"/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4"/>
      <c r="Y309" s="34"/>
      <c r="Z309" s="34"/>
      <c r="AA309" s="34"/>
      <c r="AB309" s="34"/>
      <c r="AC309" s="34"/>
      <c r="AD309" s="34"/>
      <c r="AE309" s="34"/>
      <c r="AF309" s="34"/>
      <c r="AG309" s="34"/>
      <c r="AH309" s="34"/>
      <c r="AI309" s="34"/>
      <c r="AJ309" s="34"/>
      <c r="AK309" s="34"/>
    </row>
    <row r="310" spans="1:37">
      <c r="A310" s="3"/>
      <c r="B310" s="3"/>
      <c r="C310" s="3"/>
      <c r="D310" s="3"/>
      <c r="E310" s="3"/>
      <c r="F310" s="34"/>
      <c r="G310" s="34"/>
      <c r="H310" s="34"/>
      <c r="I310" s="34"/>
      <c r="J310" s="34"/>
      <c r="K310" s="34"/>
      <c r="L310" s="34"/>
      <c r="M310" s="34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4"/>
      <c r="Y310" s="34"/>
      <c r="Z310" s="34"/>
      <c r="AA310" s="34"/>
      <c r="AB310" s="34"/>
      <c r="AC310" s="34"/>
      <c r="AD310" s="34"/>
      <c r="AE310" s="34"/>
      <c r="AF310" s="34"/>
      <c r="AG310" s="34"/>
      <c r="AH310" s="34"/>
      <c r="AI310" s="34"/>
      <c r="AJ310" s="34"/>
      <c r="AK310" s="34"/>
    </row>
    <row r="311" spans="1:37">
      <c r="A311" s="3"/>
      <c r="B311" s="3"/>
      <c r="C311" s="3"/>
      <c r="D311" s="3"/>
      <c r="E311" s="3"/>
      <c r="F311" s="34"/>
      <c r="G311" s="34"/>
      <c r="H311" s="34"/>
      <c r="I311" s="34"/>
      <c r="J311" s="34"/>
      <c r="K311" s="34"/>
      <c r="L311" s="34"/>
      <c r="M311" s="34"/>
      <c r="N311" s="34"/>
      <c r="O311" s="34"/>
      <c r="P311" s="34"/>
      <c r="Q311" s="34"/>
      <c r="R311" s="34"/>
      <c r="S311" s="34"/>
      <c r="T311" s="34"/>
      <c r="U311" s="34"/>
      <c r="V311" s="34"/>
      <c r="W311" s="34"/>
      <c r="X311" s="34"/>
      <c r="Y311" s="34"/>
      <c r="Z311" s="34"/>
      <c r="AA311" s="34"/>
      <c r="AB311" s="34"/>
      <c r="AC311" s="34"/>
      <c r="AD311" s="34"/>
      <c r="AE311" s="34"/>
      <c r="AF311" s="34"/>
      <c r="AG311" s="34"/>
      <c r="AH311" s="34"/>
      <c r="AI311" s="34"/>
      <c r="AJ311" s="34"/>
      <c r="AK311" s="34"/>
    </row>
    <row r="312" spans="1:37">
      <c r="A312" s="3"/>
      <c r="B312" s="3"/>
      <c r="C312" s="3"/>
      <c r="D312" s="3"/>
      <c r="E312" s="3"/>
      <c r="F312" s="34"/>
      <c r="G312" s="34"/>
      <c r="H312" s="34"/>
      <c r="I312" s="34"/>
      <c r="J312" s="34"/>
      <c r="K312" s="34"/>
      <c r="L312" s="34"/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4"/>
      <c r="Y312" s="34"/>
      <c r="Z312" s="34"/>
      <c r="AA312" s="34"/>
      <c r="AB312" s="34"/>
      <c r="AC312" s="34"/>
      <c r="AD312" s="34"/>
      <c r="AE312" s="34"/>
      <c r="AF312" s="34"/>
      <c r="AG312" s="34"/>
      <c r="AH312" s="34"/>
      <c r="AI312" s="34"/>
      <c r="AJ312" s="34"/>
      <c r="AK312" s="34"/>
    </row>
    <row r="313" spans="1:37">
      <c r="A313" s="3"/>
      <c r="B313" s="3"/>
      <c r="C313" s="3"/>
      <c r="D313" s="3"/>
      <c r="E313" s="3"/>
      <c r="F313" s="34"/>
      <c r="G313" s="34"/>
      <c r="H313" s="34"/>
      <c r="I313" s="34"/>
      <c r="J313" s="34"/>
      <c r="K313" s="34"/>
      <c r="L313" s="34"/>
      <c r="M313" s="34"/>
      <c r="N313" s="34"/>
      <c r="O313" s="34"/>
      <c r="P313" s="34"/>
      <c r="Q313" s="34"/>
      <c r="R313" s="34"/>
      <c r="S313" s="34"/>
      <c r="T313" s="34"/>
      <c r="U313" s="34"/>
      <c r="V313" s="34"/>
      <c r="W313" s="34"/>
      <c r="X313" s="34"/>
      <c r="Y313" s="34"/>
      <c r="Z313" s="34"/>
      <c r="AA313" s="34"/>
      <c r="AB313" s="34"/>
      <c r="AC313" s="34"/>
      <c r="AD313" s="34"/>
      <c r="AE313" s="34"/>
      <c r="AF313" s="34"/>
      <c r="AG313" s="34"/>
      <c r="AH313" s="34"/>
      <c r="AI313" s="34"/>
      <c r="AJ313" s="34"/>
      <c r="AK313" s="34"/>
    </row>
    <row r="314" spans="1:37">
      <c r="A314" s="3"/>
      <c r="B314" s="3"/>
      <c r="C314" s="3"/>
      <c r="D314" s="3"/>
      <c r="E314" s="3"/>
      <c r="F314" s="34"/>
      <c r="G314" s="34"/>
      <c r="H314" s="34"/>
      <c r="I314" s="34"/>
      <c r="J314" s="34"/>
      <c r="K314" s="34"/>
      <c r="L314" s="34"/>
      <c r="M314" s="34"/>
      <c r="N314" s="34"/>
      <c r="O314" s="34"/>
      <c r="P314" s="34"/>
      <c r="Q314" s="34"/>
      <c r="R314" s="34"/>
      <c r="S314" s="34"/>
      <c r="T314" s="34"/>
      <c r="U314" s="34"/>
      <c r="V314" s="34"/>
      <c r="W314" s="34"/>
      <c r="X314" s="34"/>
      <c r="Y314" s="34"/>
      <c r="Z314" s="34"/>
      <c r="AA314" s="34"/>
      <c r="AB314" s="34"/>
      <c r="AC314" s="34"/>
      <c r="AD314" s="34"/>
      <c r="AE314" s="34"/>
      <c r="AF314" s="34"/>
      <c r="AG314" s="34"/>
      <c r="AH314" s="34"/>
      <c r="AI314" s="34"/>
      <c r="AJ314" s="34"/>
      <c r="AK314" s="34"/>
    </row>
    <row r="315" spans="1:37">
      <c r="A315" s="3"/>
      <c r="B315" s="3"/>
      <c r="C315" s="3"/>
      <c r="D315" s="3"/>
      <c r="E315" s="3"/>
      <c r="F315" s="34"/>
      <c r="G315" s="34"/>
      <c r="H315" s="34"/>
      <c r="I315" s="34"/>
      <c r="J315" s="34"/>
      <c r="K315" s="34"/>
      <c r="L315" s="34"/>
      <c r="M315" s="34"/>
      <c r="N315" s="34"/>
      <c r="O315" s="34"/>
      <c r="P315" s="34"/>
      <c r="Q315" s="34"/>
      <c r="R315" s="34"/>
      <c r="S315" s="34"/>
      <c r="T315" s="34"/>
      <c r="U315" s="34"/>
      <c r="V315" s="34"/>
      <c r="W315" s="34"/>
      <c r="X315" s="34"/>
      <c r="Y315" s="34"/>
      <c r="Z315" s="34"/>
      <c r="AA315" s="34"/>
      <c r="AB315" s="34"/>
      <c r="AC315" s="34"/>
      <c r="AD315" s="34"/>
      <c r="AE315" s="34"/>
      <c r="AF315" s="34"/>
      <c r="AG315" s="34"/>
      <c r="AH315" s="34"/>
      <c r="AI315" s="34"/>
      <c r="AJ315" s="34"/>
      <c r="AK315" s="34"/>
    </row>
    <row r="316" spans="1:37">
      <c r="A316" s="3"/>
      <c r="B316" s="3"/>
      <c r="C316" s="3"/>
      <c r="D316" s="3"/>
      <c r="E316" s="3"/>
      <c r="F316" s="34"/>
      <c r="G316" s="34"/>
      <c r="H316" s="34"/>
      <c r="I316" s="34"/>
      <c r="J316" s="34"/>
      <c r="K316" s="34"/>
      <c r="L316" s="34"/>
      <c r="M316" s="34"/>
      <c r="N316" s="34"/>
      <c r="O316" s="34"/>
      <c r="P316" s="34"/>
      <c r="Q316" s="34"/>
      <c r="R316" s="34"/>
      <c r="S316" s="34"/>
      <c r="T316" s="34"/>
      <c r="U316" s="34"/>
      <c r="V316" s="34"/>
      <c r="W316" s="34"/>
      <c r="X316" s="34"/>
      <c r="Y316" s="34"/>
      <c r="Z316" s="34"/>
      <c r="AA316" s="34"/>
      <c r="AB316" s="34"/>
      <c r="AC316" s="34"/>
      <c r="AD316" s="34"/>
      <c r="AE316" s="34"/>
      <c r="AF316" s="34"/>
      <c r="AG316" s="34"/>
      <c r="AH316" s="34"/>
      <c r="AI316" s="34"/>
      <c r="AJ316" s="34"/>
      <c r="AK316" s="34"/>
    </row>
    <row r="317" spans="1:37">
      <c r="A317" s="3"/>
      <c r="B317" s="3"/>
      <c r="C317" s="3"/>
      <c r="D317" s="3"/>
      <c r="E317" s="3"/>
      <c r="F317" s="34"/>
      <c r="G317" s="34"/>
      <c r="H317" s="34"/>
      <c r="I317" s="34"/>
      <c r="J317" s="34"/>
      <c r="K317" s="34"/>
      <c r="L317" s="34"/>
      <c r="M317" s="34"/>
      <c r="N317" s="34"/>
      <c r="O317" s="34"/>
      <c r="P317" s="34"/>
      <c r="Q317" s="34"/>
      <c r="R317" s="34"/>
      <c r="S317" s="34"/>
      <c r="T317" s="34"/>
      <c r="U317" s="34"/>
      <c r="V317" s="34"/>
      <c r="W317" s="34"/>
      <c r="X317" s="34"/>
      <c r="Y317" s="34"/>
      <c r="Z317" s="34"/>
      <c r="AA317" s="34"/>
      <c r="AB317" s="34"/>
      <c r="AC317" s="34"/>
      <c r="AD317" s="34"/>
      <c r="AE317" s="34"/>
      <c r="AF317" s="34"/>
      <c r="AG317" s="34"/>
      <c r="AH317" s="34"/>
      <c r="AI317" s="34"/>
      <c r="AJ317" s="34"/>
      <c r="AK317" s="34"/>
    </row>
    <row r="318" spans="1:37">
      <c r="A318" s="3"/>
      <c r="B318" s="3"/>
      <c r="C318" s="3"/>
      <c r="D318" s="3"/>
      <c r="E318" s="3"/>
      <c r="F318" s="34"/>
      <c r="G318" s="34"/>
      <c r="H318" s="34"/>
      <c r="I318" s="34"/>
      <c r="J318" s="34"/>
      <c r="K318" s="34"/>
      <c r="L318" s="34"/>
      <c r="M318" s="34"/>
      <c r="N318" s="34"/>
      <c r="O318" s="34"/>
      <c r="P318" s="34"/>
      <c r="Q318" s="34"/>
      <c r="R318" s="34"/>
      <c r="S318" s="34"/>
      <c r="T318" s="34"/>
      <c r="U318" s="34"/>
      <c r="V318" s="34"/>
      <c r="W318" s="34"/>
      <c r="X318" s="34"/>
      <c r="Y318" s="34"/>
      <c r="Z318" s="34"/>
      <c r="AA318" s="34"/>
      <c r="AB318" s="34"/>
      <c r="AC318" s="34"/>
      <c r="AD318" s="34"/>
      <c r="AE318" s="34"/>
      <c r="AF318" s="34"/>
      <c r="AG318" s="34"/>
      <c r="AH318" s="34"/>
      <c r="AI318" s="34"/>
      <c r="AJ318" s="34"/>
      <c r="AK318" s="34"/>
    </row>
    <row r="319" spans="1:37">
      <c r="A319" s="3"/>
      <c r="B319" s="3"/>
      <c r="C319" s="3"/>
      <c r="D319" s="3"/>
      <c r="E319" s="3"/>
      <c r="F319" s="34"/>
      <c r="G319" s="34"/>
      <c r="H319" s="34"/>
      <c r="I319" s="34"/>
      <c r="J319" s="34"/>
      <c r="K319" s="34"/>
      <c r="L319" s="34"/>
      <c r="M319" s="34"/>
      <c r="N319" s="34"/>
      <c r="O319" s="34"/>
      <c r="P319" s="34"/>
      <c r="Q319" s="34"/>
      <c r="R319" s="34"/>
      <c r="S319" s="34"/>
      <c r="T319" s="34"/>
      <c r="U319" s="34"/>
      <c r="V319" s="34"/>
      <c r="W319" s="34"/>
      <c r="X319" s="34"/>
      <c r="Y319" s="34"/>
      <c r="Z319" s="34"/>
      <c r="AA319" s="34"/>
      <c r="AB319" s="34"/>
      <c r="AC319" s="34"/>
      <c r="AD319" s="34"/>
      <c r="AE319" s="34"/>
      <c r="AF319" s="34"/>
      <c r="AG319" s="34"/>
      <c r="AH319" s="34"/>
      <c r="AI319" s="34"/>
      <c r="AJ319" s="34"/>
      <c r="AK319" s="34"/>
    </row>
    <row r="320" spans="1:37">
      <c r="A320" s="3"/>
      <c r="B320" s="3"/>
      <c r="C320" s="3"/>
      <c r="D320" s="3"/>
      <c r="E320" s="3"/>
      <c r="F320" s="34"/>
      <c r="G320" s="34"/>
      <c r="H320" s="34"/>
      <c r="I320" s="34"/>
      <c r="J320" s="34"/>
      <c r="K320" s="34"/>
      <c r="L320" s="34"/>
      <c r="M320" s="34"/>
      <c r="N320" s="34"/>
      <c r="O320" s="34"/>
      <c r="P320" s="34"/>
      <c r="Q320" s="34"/>
      <c r="R320" s="34"/>
      <c r="S320" s="34"/>
      <c r="T320" s="34"/>
      <c r="U320" s="34"/>
      <c r="V320" s="34"/>
      <c r="W320" s="34"/>
      <c r="X320" s="34"/>
      <c r="Y320" s="34"/>
      <c r="Z320" s="34"/>
      <c r="AA320" s="34"/>
      <c r="AB320" s="34"/>
      <c r="AC320" s="34"/>
      <c r="AD320" s="34"/>
      <c r="AE320" s="34"/>
      <c r="AF320" s="34"/>
      <c r="AG320" s="34"/>
      <c r="AH320" s="34"/>
      <c r="AI320" s="34"/>
      <c r="AJ320" s="34"/>
      <c r="AK320" s="34"/>
    </row>
    <row r="321" spans="1:37">
      <c r="A321" s="3"/>
      <c r="B321" s="3"/>
      <c r="C321" s="3"/>
      <c r="D321" s="3"/>
      <c r="E321" s="3"/>
      <c r="F321" s="34"/>
      <c r="G321" s="34"/>
      <c r="H321" s="34"/>
      <c r="I321" s="34"/>
      <c r="J321" s="34"/>
      <c r="K321" s="34"/>
      <c r="L321" s="34"/>
      <c r="M321" s="34"/>
      <c r="N321" s="34"/>
      <c r="O321" s="34"/>
      <c r="P321" s="34"/>
      <c r="Q321" s="34"/>
      <c r="R321" s="34"/>
      <c r="S321" s="34"/>
      <c r="T321" s="34"/>
      <c r="U321" s="34"/>
      <c r="V321" s="34"/>
      <c r="W321" s="34"/>
      <c r="X321" s="34"/>
      <c r="Y321" s="34"/>
      <c r="Z321" s="34"/>
      <c r="AA321" s="34"/>
      <c r="AB321" s="34"/>
      <c r="AC321" s="34"/>
      <c r="AD321" s="34"/>
      <c r="AE321" s="34"/>
      <c r="AF321" s="34"/>
      <c r="AG321" s="34"/>
      <c r="AH321" s="34"/>
      <c r="AI321" s="34"/>
      <c r="AJ321" s="34"/>
      <c r="AK321" s="34"/>
    </row>
    <row r="322" spans="1:37">
      <c r="A322" s="3"/>
      <c r="B322" s="3"/>
      <c r="C322" s="3"/>
      <c r="D322" s="3"/>
      <c r="E322" s="3"/>
      <c r="F322" s="34"/>
      <c r="G322" s="34"/>
      <c r="H322" s="34"/>
      <c r="I322" s="34"/>
      <c r="J322" s="34"/>
      <c r="K322" s="34"/>
      <c r="L322" s="34"/>
      <c r="M322" s="34"/>
      <c r="N322" s="34"/>
      <c r="O322" s="34"/>
      <c r="P322" s="34"/>
      <c r="Q322" s="34"/>
      <c r="R322" s="34"/>
      <c r="S322" s="34"/>
      <c r="T322" s="34"/>
      <c r="U322" s="34"/>
      <c r="V322" s="34"/>
      <c r="W322" s="34"/>
      <c r="X322" s="34"/>
      <c r="Y322" s="34"/>
      <c r="Z322" s="34"/>
      <c r="AA322" s="34"/>
      <c r="AB322" s="34"/>
      <c r="AC322" s="34"/>
      <c r="AD322" s="34"/>
      <c r="AE322" s="34"/>
      <c r="AF322" s="34"/>
      <c r="AG322" s="34"/>
      <c r="AH322" s="34"/>
      <c r="AI322" s="34"/>
      <c r="AJ322" s="34"/>
      <c r="AK322" s="34"/>
    </row>
    <row r="323" spans="1:37">
      <c r="A323" s="3"/>
      <c r="B323" s="3"/>
      <c r="C323" s="3"/>
      <c r="D323" s="3"/>
      <c r="E323" s="3"/>
      <c r="F323" s="34"/>
      <c r="G323" s="34"/>
      <c r="H323" s="34"/>
      <c r="I323" s="34"/>
      <c r="J323" s="34"/>
      <c r="K323" s="34"/>
      <c r="L323" s="34"/>
      <c r="M323" s="34"/>
      <c r="N323" s="34"/>
      <c r="O323" s="34"/>
      <c r="P323" s="34"/>
      <c r="Q323" s="34"/>
      <c r="R323" s="34"/>
      <c r="S323" s="34"/>
      <c r="T323" s="34"/>
      <c r="U323" s="34"/>
      <c r="V323" s="34"/>
      <c r="W323" s="34"/>
      <c r="X323" s="34"/>
      <c r="Y323" s="34"/>
      <c r="Z323" s="34"/>
      <c r="AA323" s="34"/>
      <c r="AB323" s="34"/>
      <c r="AC323" s="34"/>
      <c r="AD323" s="34"/>
      <c r="AE323" s="34"/>
      <c r="AF323" s="34"/>
      <c r="AG323" s="34"/>
      <c r="AH323" s="34"/>
      <c r="AI323" s="34"/>
      <c r="AJ323" s="34"/>
      <c r="AK323" s="34"/>
    </row>
    <row r="324" spans="1:37">
      <c r="A324" s="3"/>
      <c r="B324" s="3"/>
      <c r="C324" s="3"/>
      <c r="D324" s="3"/>
      <c r="E324" s="3"/>
      <c r="F324" s="34"/>
      <c r="G324" s="34"/>
      <c r="H324" s="34"/>
      <c r="I324" s="34"/>
      <c r="J324" s="34"/>
      <c r="K324" s="34"/>
      <c r="L324" s="34"/>
      <c r="M324" s="34"/>
      <c r="N324" s="34"/>
      <c r="O324" s="34"/>
      <c r="P324" s="34"/>
      <c r="Q324" s="34"/>
      <c r="R324" s="34"/>
      <c r="S324" s="34"/>
      <c r="T324" s="34"/>
      <c r="U324" s="34"/>
      <c r="V324" s="34"/>
      <c r="W324" s="34"/>
      <c r="X324" s="34"/>
      <c r="Y324" s="34"/>
      <c r="Z324" s="34"/>
      <c r="AA324" s="34"/>
      <c r="AB324" s="34"/>
      <c r="AC324" s="34"/>
      <c r="AD324" s="34"/>
      <c r="AE324" s="34"/>
      <c r="AF324" s="34"/>
      <c r="AG324" s="34"/>
      <c r="AH324" s="34"/>
      <c r="AI324" s="34"/>
      <c r="AJ324" s="34"/>
      <c r="AK324" s="34"/>
    </row>
    <row r="325" spans="1:37">
      <c r="A325" s="3"/>
      <c r="B325" s="3"/>
      <c r="C325" s="3"/>
      <c r="D325" s="3"/>
      <c r="E325" s="3"/>
      <c r="F325" s="34"/>
      <c r="G325" s="34"/>
      <c r="H325" s="34"/>
      <c r="I325" s="34"/>
      <c r="J325" s="34"/>
      <c r="K325" s="34"/>
      <c r="L325" s="34"/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4"/>
      <c r="Y325" s="34"/>
      <c r="Z325" s="34"/>
      <c r="AA325" s="34"/>
      <c r="AB325" s="34"/>
      <c r="AC325" s="34"/>
      <c r="AD325" s="34"/>
      <c r="AE325" s="34"/>
      <c r="AF325" s="34"/>
      <c r="AG325" s="34"/>
      <c r="AH325" s="34"/>
      <c r="AI325" s="34"/>
      <c r="AJ325" s="34"/>
      <c r="AK325" s="34"/>
    </row>
    <row r="326" spans="1:37">
      <c r="A326" s="3"/>
      <c r="B326" s="3"/>
      <c r="C326" s="3"/>
      <c r="D326" s="3"/>
      <c r="E326" s="3"/>
      <c r="F326" s="34"/>
      <c r="G326" s="34"/>
      <c r="H326" s="34"/>
      <c r="I326" s="34"/>
      <c r="J326" s="34"/>
      <c r="K326" s="34"/>
      <c r="L326" s="34"/>
      <c r="M326" s="34"/>
      <c r="N326" s="34"/>
      <c r="O326" s="34"/>
      <c r="P326" s="34"/>
      <c r="Q326" s="34"/>
      <c r="R326" s="34"/>
      <c r="S326" s="34"/>
      <c r="T326" s="34"/>
      <c r="U326" s="34"/>
      <c r="V326" s="34"/>
      <c r="W326" s="34"/>
      <c r="X326" s="34"/>
      <c r="Y326" s="34"/>
      <c r="Z326" s="34"/>
      <c r="AA326" s="34"/>
      <c r="AB326" s="34"/>
      <c r="AC326" s="34"/>
      <c r="AD326" s="34"/>
      <c r="AE326" s="34"/>
      <c r="AF326" s="34"/>
      <c r="AG326" s="34"/>
      <c r="AH326" s="34"/>
      <c r="AI326" s="34"/>
      <c r="AJ326" s="34"/>
      <c r="AK326" s="34"/>
    </row>
    <row r="327" spans="1:37">
      <c r="A327" s="3"/>
      <c r="B327" s="3"/>
      <c r="C327" s="3"/>
      <c r="D327" s="3"/>
      <c r="E327" s="3"/>
      <c r="F327" s="34"/>
      <c r="G327" s="34"/>
      <c r="H327" s="34"/>
      <c r="I327" s="34"/>
      <c r="J327" s="34"/>
      <c r="K327" s="34"/>
      <c r="L327" s="34"/>
      <c r="M327" s="34"/>
      <c r="N327" s="34"/>
      <c r="O327" s="34"/>
      <c r="P327" s="34"/>
      <c r="Q327" s="34"/>
      <c r="R327" s="34"/>
      <c r="S327" s="34"/>
      <c r="T327" s="34"/>
      <c r="U327" s="34"/>
      <c r="V327" s="34"/>
      <c r="W327" s="34"/>
      <c r="X327" s="34"/>
      <c r="Y327" s="34"/>
      <c r="Z327" s="34"/>
      <c r="AA327" s="34"/>
      <c r="AB327" s="34"/>
      <c r="AC327" s="34"/>
      <c r="AD327" s="34"/>
      <c r="AE327" s="34"/>
      <c r="AF327" s="34"/>
      <c r="AG327" s="34"/>
      <c r="AH327" s="34"/>
      <c r="AI327" s="34"/>
      <c r="AJ327" s="34"/>
      <c r="AK327" s="34"/>
    </row>
    <row r="328" spans="1:37">
      <c r="A328" s="3"/>
      <c r="B328" s="3"/>
      <c r="C328" s="3"/>
      <c r="D328" s="3"/>
      <c r="E328" s="3"/>
      <c r="F328" s="34"/>
      <c r="G328" s="34"/>
      <c r="H328" s="34"/>
      <c r="I328" s="34"/>
      <c r="J328" s="34"/>
      <c r="K328" s="34"/>
      <c r="L328" s="34"/>
      <c r="M328" s="34"/>
      <c r="N328" s="34"/>
      <c r="O328" s="34"/>
      <c r="P328" s="34"/>
      <c r="Q328" s="34"/>
      <c r="R328" s="34"/>
      <c r="S328" s="34"/>
      <c r="T328" s="34"/>
      <c r="U328" s="34"/>
      <c r="V328" s="34"/>
      <c r="W328" s="34"/>
      <c r="X328" s="34"/>
      <c r="Y328" s="34"/>
      <c r="Z328" s="34"/>
      <c r="AA328" s="34"/>
      <c r="AB328" s="34"/>
      <c r="AC328" s="34"/>
      <c r="AD328" s="34"/>
      <c r="AE328" s="34"/>
      <c r="AF328" s="34"/>
      <c r="AG328" s="34"/>
      <c r="AH328" s="34"/>
      <c r="AI328" s="34"/>
      <c r="AJ328" s="34"/>
      <c r="AK328" s="34"/>
    </row>
    <row r="329" spans="1:37">
      <c r="A329" s="3"/>
      <c r="B329" s="3"/>
      <c r="C329" s="3"/>
      <c r="D329" s="3"/>
      <c r="E329" s="3"/>
      <c r="F329" s="34"/>
      <c r="G329" s="34"/>
      <c r="H329" s="34"/>
      <c r="I329" s="34"/>
      <c r="J329" s="34"/>
      <c r="K329" s="34"/>
      <c r="L329" s="34"/>
      <c r="M329" s="34"/>
      <c r="N329" s="34"/>
      <c r="O329" s="34"/>
      <c r="P329" s="34"/>
      <c r="Q329" s="34"/>
      <c r="R329" s="34"/>
      <c r="S329" s="34"/>
      <c r="T329" s="34"/>
      <c r="U329" s="34"/>
      <c r="V329" s="34"/>
      <c r="W329" s="34"/>
      <c r="X329" s="34"/>
      <c r="Y329" s="34"/>
      <c r="Z329" s="34"/>
      <c r="AA329" s="34"/>
      <c r="AB329" s="34"/>
      <c r="AC329" s="34"/>
      <c r="AD329" s="34"/>
      <c r="AE329" s="34"/>
      <c r="AF329" s="34"/>
      <c r="AG329" s="34"/>
      <c r="AH329" s="34"/>
      <c r="AI329" s="34"/>
      <c r="AJ329" s="34"/>
      <c r="AK329" s="34"/>
    </row>
    <row r="330" spans="1:37">
      <c r="A330" s="3"/>
      <c r="B330" s="3"/>
      <c r="C330" s="3"/>
      <c r="D330" s="3"/>
      <c r="E330" s="3"/>
      <c r="F330" s="34"/>
      <c r="G330" s="34"/>
      <c r="H330" s="34"/>
      <c r="I330" s="34"/>
      <c r="J330" s="34"/>
      <c r="K330" s="34"/>
      <c r="L330" s="34"/>
      <c r="M330" s="34"/>
      <c r="N330" s="34"/>
      <c r="O330" s="34"/>
      <c r="P330" s="34"/>
      <c r="Q330" s="34"/>
      <c r="R330" s="34"/>
      <c r="S330" s="34"/>
      <c r="T330" s="34"/>
      <c r="U330" s="34"/>
      <c r="V330" s="34"/>
      <c r="W330" s="34"/>
      <c r="X330" s="34"/>
      <c r="Y330" s="34"/>
      <c r="Z330" s="34"/>
      <c r="AA330" s="34"/>
      <c r="AB330" s="34"/>
      <c r="AC330" s="34"/>
      <c r="AD330" s="34"/>
      <c r="AE330" s="34"/>
      <c r="AF330" s="34"/>
      <c r="AG330" s="34"/>
      <c r="AH330" s="34"/>
      <c r="AI330" s="34"/>
      <c r="AJ330" s="34"/>
      <c r="AK330" s="34"/>
    </row>
    <row r="331" spans="1:37">
      <c r="A331" s="3"/>
      <c r="B331" s="3"/>
      <c r="C331" s="3"/>
      <c r="D331" s="3"/>
      <c r="E331" s="3"/>
      <c r="F331" s="34"/>
      <c r="G331" s="34"/>
      <c r="H331" s="34"/>
      <c r="I331" s="34"/>
      <c r="J331" s="34"/>
      <c r="K331" s="34"/>
      <c r="L331" s="34"/>
      <c r="M331" s="34"/>
      <c r="N331" s="34"/>
      <c r="O331" s="34"/>
      <c r="P331" s="34"/>
      <c r="Q331" s="34"/>
      <c r="R331" s="34"/>
      <c r="S331" s="34"/>
      <c r="T331" s="34"/>
      <c r="U331" s="34"/>
      <c r="V331" s="34"/>
      <c r="W331" s="34"/>
      <c r="X331" s="34"/>
      <c r="Y331" s="34"/>
      <c r="Z331" s="34"/>
      <c r="AA331" s="34"/>
      <c r="AB331" s="34"/>
      <c r="AC331" s="34"/>
      <c r="AD331" s="34"/>
      <c r="AE331" s="34"/>
      <c r="AF331" s="34"/>
      <c r="AG331" s="34"/>
      <c r="AH331" s="34"/>
      <c r="AI331" s="34"/>
      <c r="AJ331" s="34"/>
      <c r="AK331" s="34"/>
    </row>
    <row r="332" spans="1:37">
      <c r="A332" s="3"/>
      <c r="B332" s="3"/>
      <c r="C332" s="3"/>
      <c r="D332" s="3"/>
      <c r="E332" s="3"/>
      <c r="F332" s="34"/>
      <c r="G332" s="34"/>
      <c r="H332" s="34"/>
      <c r="I332" s="34"/>
      <c r="J332" s="34"/>
      <c r="K332" s="34"/>
      <c r="L332" s="34"/>
      <c r="M332" s="34"/>
      <c r="N332" s="34"/>
      <c r="O332" s="34"/>
      <c r="P332" s="34"/>
      <c r="Q332" s="34"/>
      <c r="R332" s="34"/>
      <c r="S332" s="34"/>
      <c r="T332" s="34"/>
      <c r="U332" s="34"/>
      <c r="V332" s="34"/>
      <c r="W332" s="34"/>
      <c r="X332" s="34"/>
      <c r="Y332" s="34"/>
      <c r="Z332" s="34"/>
      <c r="AA332" s="34"/>
      <c r="AB332" s="34"/>
      <c r="AC332" s="34"/>
      <c r="AD332" s="34"/>
      <c r="AE332" s="34"/>
      <c r="AF332" s="34"/>
      <c r="AG332" s="34"/>
      <c r="AH332" s="34"/>
      <c r="AI332" s="34"/>
      <c r="AJ332" s="34"/>
      <c r="AK332" s="34"/>
    </row>
    <row r="333" spans="1:37">
      <c r="A333" s="3"/>
      <c r="B333" s="3"/>
      <c r="C333" s="3"/>
      <c r="D333" s="3"/>
      <c r="E333" s="3"/>
      <c r="F333" s="34"/>
      <c r="G333" s="34"/>
      <c r="H333" s="34"/>
      <c r="I333" s="34"/>
      <c r="J333" s="34"/>
      <c r="K333" s="34"/>
      <c r="L333" s="34"/>
      <c r="M333" s="34"/>
      <c r="N333" s="34"/>
      <c r="O333" s="34"/>
      <c r="P333" s="34"/>
      <c r="Q333" s="34"/>
      <c r="R333" s="34"/>
      <c r="S333" s="34"/>
      <c r="T333" s="34"/>
      <c r="U333" s="34"/>
      <c r="V333" s="34"/>
      <c r="W333" s="34"/>
      <c r="X333" s="34"/>
      <c r="Y333" s="34"/>
      <c r="Z333" s="34"/>
      <c r="AA333" s="34"/>
      <c r="AB333" s="34"/>
      <c r="AC333" s="34"/>
      <c r="AD333" s="34"/>
      <c r="AE333" s="34"/>
      <c r="AF333" s="34"/>
      <c r="AG333" s="34"/>
      <c r="AH333" s="34"/>
      <c r="AI333" s="34"/>
      <c r="AJ333" s="34"/>
      <c r="AK333" s="34"/>
    </row>
    <row r="334" spans="1:37">
      <c r="A334" s="3"/>
      <c r="B334" s="3"/>
      <c r="C334" s="3"/>
      <c r="D334" s="3"/>
      <c r="E334" s="3"/>
      <c r="F334" s="34"/>
      <c r="G334" s="34"/>
      <c r="H334" s="34"/>
      <c r="I334" s="34"/>
      <c r="J334" s="34"/>
      <c r="K334" s="34"/>
      <c r="L334" s="34"/>
      <c r="M334" s="34"/>
      <c r="N334" s="34"/>
      <c r="O334" s="34"/>
      <c r="P334" s="34"/>
      <c r="Q334" s="34"/>
      <c r="R334" s="34"/>
      <c r="S334" s="34"/>
      <c r="T334" s="34"/>
      <c r="U334" s="34"/>
      <c r="V334" s="34"/>
      <c r="W334" s="34"/>
      <c r="X334" s="34"/>
      <c r="Y334" s="34"/>
      <c r="Z334" s="34"/>
      <c r="AA334" s="34"/>
      <c r="AB334" s="34"/>
      <c r="AC334" s="34"/>
      <c r="AD334" s="34"/>
      <c r="AE334" s="34"/>
      <c r="AF334" s="34"/>
      <c r="AG334" s="34"/>
      <c r="AH334" s="34"/>
      <c r="AI334" s="34"/>
      <c r="AJ334" s="34"/>
      <c r="AK334" s="34"/>
    </row>
    <row r="335" spans="1:37">
      <c r="A335" s="3"/>
      <c r="B335" s="3"/>
      <c r="C335" s="3"/>
      <c r="D335" s="3"/>
      <c r="E335" s="3"/>
      <c r="F335" s="34"/>
      <c r="G335" s="34"/>
      <c r="H335" s="34"/>
      <c r="I335" s="34"/>
      <c r="J335" s="34"/>
      <c r="K335" s="34"/>
      <c r="L335" s="34"/>
      <c r="M335" s="34"/>
      <c r="N335" s="34"/>
      <c r="O335" s="34"/>
      <c r="P335" s="34"/>
      <c r="Q335" s="34"/>
      <c r="R335" s="34"/>
      <c r="S335" s="34"/>
      <c r="T335" s="34"/>
      <c r="U335" s="34"/>
      <c r="V335" s="34"/>
      <c r="W335" s="34"/>
      <c r="X335" s="34"/>
      <c r="Y335" s="34"/>
      <c r="Z335" s="34"/>
      <c r="AA335" s="34"/>
      <c r="AB335" s="34"/>
      <c r="AC335" s="34"/>
      <c r="AD335" s="34"/>
      <c r="AE335" s="34"/>
      <c r="AF335" s="34"/>
      <c r="AG335" s="34"/>
      <c r="AH335" s="34"/>
      <c r="AI335" s="34"/>
      <c r="AJ335" s="34"/>
      <c r="AK335" s="34"/>
    </row>
    <row r="336" spans="1:37">
      <c r="A336" s="3"/>
      <c r="B336" s="3"/>
      <c r="C336" s="3"/>
      <c r="D336" s="3"/>
      <c r="E336" s="3"/>
      <c r="F336" s="34"/>
      <c r="G336" s="34"/>
      <c r="H336" s="34"/>
      <c r="I336" s="34"/>
      <c r="J336" s="34"/>
      <c r="K336" s="34"/>
      <c r="L336" s="34"/>
      <c r="M336" s="34"/>
      <c r="N336" s="34"/>
      <c r="O336" s="34"/>
      <c r="P336" s="34"/>
      <c r="Q336" s="34"/>
      <c r="R336" s="34"/>
      <c r="S336" s="34"/>
      <c r="T336" s="34"/>
      <c r="U336" s="34"/>
      <c r="V336" s="34"/>
      <c r="W336" s="34"/>
      <c r="X336" s="34"/>
      <c r="Y336" s="34"/>
      <c r="Z336" s="34"/>
      <c r="AA336" s="34"/>
      <c r="AB336" s="34"/>
      <c r="AC336" s="34"/>
      <c r="AD336" s="34"/>
      <c r="AE336" s="34"/>
      <c r="AF336" s="34"/>
      <c r="AG336" s="34"/>
      <c r="AH336" s="34"/>
      <c r="AI336" s="34"/>
      <c r="AJ336" s="34"/>
      <c r="AK336" s="34"/>
    </row>
    <row r="337" spans="1:37">
      <c r="A337" s="3"/>
      <c r="B337" s="3"/>
      <c r="C337" s="3"/>
      <c r="D337" s="3"/>
      <c r="E337" s="3"/>
      <c r="F337" s="34"/>
      <c r="G337" s="34"/>
      <c r="H337" s="34"/>
      <c r="I337" s="34"/>
      <c r="J337" s="34"/>
      <c r="K337" s="34"/>
      <c r="L337" s="34"/>
      <c r="M337" s="34"/>
      <c r="N337" s="34"/>
      <c r="O337" s="34"/>
      <c r="P337" s="34"/>
      <c r="Q337" s="34"/>
      <c r="R337" s="34"/>
      <c r="S337" s="34"/>
      <c r="T337" s="34"/>
      <c r="U337" s="34"/>
      <c r="V337" s="34"/>
      <c r="W337" s="34"/>
      <c r="X337" s="34"/>
      <c r="Y337" s="34"/>
      <c r="Z337" s="34"/>
      <c r="AA337" s="34"/>
      <c r="AB337" s="34"/>
      <c r="AC337" s="34"/>
      <c r="AD337" s="34"/>
      <c r="AE337" s="34"/>
      <c r="AF337" s="34"/>
      <c r="AG337" s="34"/>
      <c r="AH337" s="34"/>
      <c r="AI337" s="34"/>
      <c r="AJ337" s="34"/>
      <c r="AK337" s="34"/>
    </row>
    <row r="338" spans="1:37">
      <c r="A338" s="3"/>
      <c r="B338" s="3"/>
      <c r="C338" s="3"/>
      <c r="D338" s="3"/>
      <c r="E338" s="3"/>
      <c r="F338" s="34"/>
      <c r="G338" s="34"/>
      <c r="H338" s="34"/>
      <c r="I338" s="34"/>
      <c r="J338" s="34"/>
      <c r="K338" s="34"/>
      <c r="L338" s="34"/>
      <c r="M338" s="34"/>
      <c r="N338" s="34"/>
      <c r="O338" s="34"/>
      <c r="P338" s="34"/>
      <c r="Q338" s="34"/>
      <c r="R338" s="34"/>
      <c r="S338" s="34"/>
      <c r="T338" s="34"/>
      <c r="U338" s="34"/>
      <c r="V338" s="34"/>
      <c r="W338" s="34"/>
      <c r="X338" s="34"/>
      <c r="Y338" s="34"/>
      <c r="Z338" s="34"/>
      <c r="AA338" s="34"/>
      <c r="AB338" s="34"/>
      <c r="AC338" s="34"/>
      <c r="AD338" s="34"/>
      <c r="AE338" s="34"/>
      <c r="AF338" s="34"/>
      <c r="AG338" s="34"/>
      <c r="AH338" s="34"/>
      <c r="AI338" s="34"/>
      <c r="AJ338" s="34"/>
      <c r="AK338" s="34"/>
    </row>
    <row r="339" spans="1:37">
      <c r="A339" s="3"/>
      <c r="B339" s="3"/>
      <c r="C339" s="3"/>
      <c r="D339" s="3"/>
      <c r="E339" s="3"/>
      <c r="F339" s="34"/>
      <c r="G339" s="34"/>
      <c r="H339" s="34"/>
      <c r="I339" s="34"/>
      <c r="J339" s="34"/>
      <c r="K339" s="34"/>
      <c r="L339" s="34"/>
      <c r="M339" s="34"/>
      <c r="N339" s="34"/>
      <c r="O339" s="34"/>
      <c r="P339" s="34"/>
      <c r="Q339" s="34"/>
      <c r="R339" s="34"/>
      <c r="S339" s="34"/>
      <c r="T339" s="34"/>
      <c r="U339" s="34"/>
      <c r="V339" s="34"/>
      <c r="W339" s="34"/>
      <c r="X339" s="34"/>
      <c r="Y339" s="34"/>
      <c r="Z339" s="34"/>
      <c r="AA339" s="34"/>
      <c r="AB339" s="34"/>
      <c r="AC339" s="34"/>
      <c r="AD339" s="34"/>
      <c r="AE339" s="34"/>
      <c r="AF339" s="34"/>
      <c r="AG339" s="34"/>
      <c r="AH339" s="34"/>
      <c r="AI339" s="34"/>
      <c r="AJ339" s="34"/>
      <c r="AK339" s="34"/>
    </row>
    <row r="340" spans="1:37">
      <c r="A340" s="3"/>
      <c r="B340" s="3"/>
      <c r="C340" s="3"/>
      <c r="D340" s="3"/>
      <c r="E340" s="3"/>
      <c r="F340" s="34"/>
      <c r="G340" s="34"/>
      <c r="H340" s="34"/>
      <c r="I340" s="34"/>
      <c r="J340" s="34"/>
      <c r="K340" s="34"/>
      <c r="L340" s="34"/>
      <c r="M340" s="34"/>
      <c r="N340" s="34"/>
      <c r="O340" s="34"/>
      <c r="P340" s="34"/>
      <c r="Q340" s="34"/>
      <c r="R340" s="34"/>
      <c r="S340" s="34"/>
      <c r="T340" s="34"/>
      <c r="U340" s="34"/>
      <c r="V340" s="34"/>
      <c r="W340" s="34"/>
      <c r="X340" s="34"/>
      <c r="Y340" s="34"/>
      <c r="Z340" s="34"/>
      <c r="AA340" s="34"/>
      <c r="AB340" s="34"/>
      <c r="AC340" s="34"/>
      <c r="AD340" s="34"/>
      <c r="AE340" s="34"/>
      <c r="AF340" s="34"/>
      <c r="AG340" s="34"/>
      <c r="AH340" s="34"/>
      <c r="AI340" s="34"/>
      <c r="AJ340" s="34"/>
      <c r="AK340" s="34"/>
    </row>
    <row r="341" spans="1:37">
      <c r="A341" s="3"/>
      <c r="B341" s="3"/>
      <c r="C341" s="3"/>
      <c r="D341" s="3"/>
      <c r="E341" s="3"/>
      <c r="F341" s="34"/>
      <c r="G341" s="34"/>
      <c r="H341" s="34"/>
      <c r="I341" s="34"/>
      <c r="J341" s="34"/>
      <c r="K341" s="34"/>
      <c r="L341" s="34"/>
      <c r="M341" s="34"/>
      <c r="N341" s="34"/>
      <c r="O341" s="34"/>
      <c r="P341" s="34"/>
      <c r="Q341" s="34"/>
      <c r="R341" s="34"/>
      <c r="S341" s="34"/>
      <c r="T341" s="34"/>
      <c r="U341" s="34"/>
      <c r="V341" s="34"/>
      <c r="W341" s="34"/>
      <c r="X341" s="34"/>
      <c r="Y341" s="34"/>
      <c r="Z341" s="34"/>
      <c r="AA341" s="34"/>
      <c r="AB341" s="34"/>
      <c r="AC341" s="34"/>
      <c r="AD341" s="34"/>
      <c r="AE341" s="34"/>
      <c r="AF341" s="34"/>
      <c r="AG341" s="34"/>
      <c r="AH341" s="34"/>
      <c r="AI341" s="34"/>
      <c r="AJ341" s="34"/>
      <c r="AK341" s="34"/>
    </row>
    <row r="342" spans="1:37">
      <c r="A342" s="3"/>
      <c r="B342" s="3"/>
      <c r="C342" s="3"/>
      <c r="D342" s="3"/>
      <c r="E342" s="3"/>
      <c r="F342" s="34"/>
      <c r="G342" s="34"/>
      <c r="H342" s="34"/>
      <c r="I342" s="34"/>
      <c r="J342" s="34"/>
      <c r="K342" s="34"/>
      <c r="L342" s="34"/>
      <c r="M342" s="34"/>
      <c r="N342" s="34"/>
      <c r="O342" s="34"/>
      <c r="P342" s="34"/>
      <c r="Q342" s="34"/>
      <c r="R342" s="34"/>
      <c r="S342" s="34"/>
      <c r="T342" s="34"/>
      <c r="U342" s="34"/>
      <c r="V342" s="34"/>
      <c r="W342" s="34"/>
      <c r="X342" s="34"/>
      <c r="Y342" s="34"/>
      <c r="Z342" s="34"/>
      <c r="AA342" s="34"/>
      <c r="AB342" s="34"/>
      <c r="AC342" s="34"/>
      <c r="AD342" s="34"/>
      <c r="AE342" s="34"/>
      <c r="AF342" s="34"/>
      <c r="AG342" s="34"/>
      <c r="AH342" s="34"/>
      <c r="AI342" s="34"/>
      <c r="AJ342" s="34"/>
      <c r="AK342" s="34"/>
    </row>
    <row r="343" spans="1:37">
      <c r="A343" s="3"/>
      <c r="B343" s="3"/>
      <c r="C343" s="3"/>
      <c r="D343" s="3"/>
      <c r="E343" s="3"/>
      <c r="F343" s="34"/>
      <c r="G343" s="34"/>
      <c r="H343" s="34"/>
      <c r="I343" s="34"/>
      <c r="J343" s="34"/>
      <c r="K343" s="34"/>
      <c r="L343" s="34"/>
      <c r="M343" s="34"/>
      <c r="N343" s="34"/>
      <c r="O343" s="34"/>
      <c r="P343" s="34"/>
      <c r="Q343" s="34"/>
      <c r="R343" s="34"/>
      <c r="S343" s="34"/>
      <c r="T343" s="34"/>
      <c r="U343" s="34"/>
      <c r="V343" s="34"/>
      <c r="W343" s="34"/>
      <c r="X343" s="34"/>
      <c r="Y343" s="34"/>
      <c r="Z343" s="34"/>
      <c r="AA343" s="34"/>
      <c r="AB343" s="34"/>
      <c r="AC343" s="34"/>
      <c r="AD343" s="34"/>
      <c r="AE343" s="34"/>
      <c r="AF343" s="34"/>
      <c r="AG343" s="34"/>
      <c r="AH343" s="34"/>
      <c r="AI343" s="34"/>
      <c r="AJ343" s="34"/>
      <c r="AK343" s="34"/>
    </row>
    <row r="344" spans="1:37">
      <c r="A344" s="3"/>
      <c r="B344" s="3"/>
      <c r="C344" s="3"/>
      <c r="D344" s="3"/>
      <c r="E344" s="3"/>
      <c r="F344" s="34"/>
      <c r="G344" s="34"/>
      <c r="H344" s="34"/>
      <c r="I344" s="34"/>
      <c r="J344" s="34"/>
      <c r="K344" s="34"/>
      <c r="L344" s="34"/>
      <c r="M344" s="34"/>
      <c r="N344" s="34"/>
      <c r="O344" s="34"/>
      <c r="P344" s="34"/>
      <c r="Q344" s="34"/>
      <c r="R344" s="34"/>
      <c r="S344" s="34"/>
      <c r="T344" s="34"/>
      <c r="U344" s="34"/>
      <c r="V344" s="34"/>
      <c r="W344" s="34"/>
      <c r="X344" s="34"/>
      <c r="Y344" s="34"/>
      <c r="Z344" s="34"/>
      <c r="AA344" s="34"/>
      <c r="AB344" s="34"/>
      <c r="AC344" s="34"/>
      <c r="AD344" s="34"/>
      <c r="AE344" s="34"/>
      <c r="AF344" s="34"/>
      <c r="AG344" s="34"/>
      <c r="AH344" s="34"/>
      <c r="AI344" s="34"/>
      <c r="AJ344" s="34"/>
      <c r="AK344" s="34"/>
    </row>
    <row r="345" spans="1:37">
      <c r="A345" s="3"/>
      <c r="B345" s="3"/>
      <c r="C345" s="3"/>
      <c r="D345" s="3"/>
      <c r="E345" s="3"/>
      <c r="F345" s="34"/>
      <c r="G345" s="34"/>
      <c r="H345" s="34"/>
      <c r="I345" s="34"/>
      <c r="J345" s="34"/>
      <c r="K345" s="34"/>
      <c r="L345" s="34"/>
      <c r="M345" s="34"/>
      <c r="N345" s="34"/>
      <c r="O345" s="34"/>
      <c r="P345" s="34"/>
      <c r="Q345" s="34"/>
      <c r="R345" s="34"/>
      <c r="S345" s="34"/>
      <c r="T345" s="34"/>
      <c r="U345" s="34"/>
      <c r="V345" s="34"/>
      <c r="W345" s="34"/>
      <c r="X345" s="34"/>
      <c r="Y345" s="34"/>
      <c r="Z345" s="34"/>
      <c r="AA345" s="34"/>
      <c r="AB345" s="34"/>
      <c r="AC345" s="34"/>
      <c r="AD345" s="34"/>
      <c r="AE345" s="34"/>
      <c r="AF345" s="34"/>
      <c r="AG345" s="34"/>
      <c r="AH345" s="34"/>
      <c r="AI345" s="34"/>
      <c r="AJ345" s="34"/>
      <c r="AK345" s="34"/>
    </row>
    <row r="346" spans="1:37">
      <c r="A346" s="3"/>
      <c r="B346" s="3"/>
      <c r="C346" s="3"/>
      <c r="D346" s="3"/>
      <c r="E346" s="3"/>
      <c r="F346" s="34"/>
      <c r="G346" s="34"/>
      <c r="H346" s="34"/>
      <c r="I346" s="34"/>
      <c r="J346" s="34"/>
      <c r="K346" s="34"/>
      <c r="L346" s="34"/>
      <c r="M346" s="34"/>
      <c r="N346" s="34"/>
      <c r="O346" s="34"/>
      <c r="P346" s="34"/>
      <c r="Q346" s="34"/>
      <c r="R346" s="34"/>
      <c r="S346" s="34"/>
      <c r="T346" s="34"/>
      <c r="U346" s="34"/>
      <c r="V346" s="34"/>
      <c r="W346" s="34"/>
      <c r="X346" s="34"/>
      <c r="Y346" s="34"/>
      <c r="Z346" s="34"/>
      <c r="AA346" s="34"/>
      <c r="AB346" s="34"/>
      <c r="AC346" s="34"/>
      <c r="AD346" s="34"/>
      <c r="AE346" s="34"/>
      <c r="AF346" s="34"/>
      <c r="AG346" s="34"/>
      <c r="AH346" s="34"/>
      <c r="AI346" s="34"/>
      <c r="AJ346" s="34"/>
      <c r="AK346" s="34"/>
    </row>
    <row r="347" spans="1:37">
      <c r="A347" s="3"/>
      <c r="B347" s="3"/>
      <c r="C347" s="3"/>
      <c r="D347" s="3"/>
      <c r="E347" s="3"/>
      <c r="F347" s="34"/>
      <c r="G347" s="34"/>
      <c r="H347" s="34"/>
      <c r="I347" s="34"/>
      <c r="J347" s="34"/>
      <c r="K347" s="34"/>
      <c r="L347" s="34"/>
      <c r="M347" s="34"/>
      <c r="N347" s="34"/>
      <c r="O347" s="34"/>
      <c r="P347" s="34"/>
      <c r="Q347" s="34"/>
      <c r="R347" s="34"/>
      <c r="S347" s="34"/>
      <c r="T347" s="34"/>
      <c r="U347" s="34"/>
      <c r="V347" s="34"/>
      <c r="W347" s="34"/>
      <c r="X347" s="34"/>
      <c r="Y347" s="34"/>
      <c r="Z347" s="34"/>
      <c r="AA347" s="34"/>
      <c r="AB347" s="34"/>
      <c r="AC347" s="34"/>
      <c r="AD347" s="34"/>
      <c r="AE347" s="34"/>
      <c r="AF347" s="34"/>
      <c r="AG347" s="34"/>
      <c r="AH347" s="34"/>
      <c r="AI347" s="34"/>
      <c r="AJ347" s="34"/>
      <c r="AK347" s="34"/>
    </row>
    <row r="348" spans="1:37">
      <c r="A348" s="3"/>
      <c r="B348" s="3"/>
      <c r="C348" s="3"/>
      <c r="D348" s="3"/>
      <c r="E348" s="3"/>
      <c r="F348" s="34"/>
      <c r="G348" s="34"/>
      <c r="H348" s="34"/>
      <c r="I348" s="34"/>
      <c r="J348" s="34"/>
      <c r="K348" s="34"/>
      <c r="L348" s="34"/>
      <c r="M348" s="34"/>
      <c r="N348" s="34"/>
      <c r="O348" s="34"/>
      <c r="P348" s="34"/>
      <c r="Q348" s="34"/>
      <c r="R348" s="34"/>
      <c r="S348" s="34"/>
      <c r="T348" s="34"/>
      <c r="U348" s="34"/>
      <c r="V348" s="34"/>
      <c r="W348" s="34"/>
      <c r="X348" s="34"/>
      <c r="Y348" s="34"/>
      <c r="Z348" s="34"/>
      <c r="AA348" s="34"/>
      <c r="AB348" s="34"/>
      <c r="AC348" s="34"/>
      <c r="AD348" s="34"/>
      <c r="AE348" s="34"/>
      <c r="AF348" s="34"/>
      <c r="AG348" s="34"/>
      <c r="AH348" s="34"/>
      <c r="AI348" s="34"/>
      <c r="AJ348" s="34"/>
      <c r="AK348" s="34"/>
    </row>
    <row r="349" spans="1:37">
      <c r="A349" s="3"/>
      <c r="B349" s="3"/>
      <c r="C349" s="3"/>
      <c r="D349" s="3"/>
      <c r="E349" s="3"/>
      <c r="F349" s="34"/>
      <c r="G349" s="34"/>
      <c r="H349" s="34"/>
      <c r="I349" s="34"/>
      <c r="J349" s="34"/>
      <c r="K349" s="34"/>
      <c r="L349" s="34"/>
      <c r="M349" s="34"/>
      <c r="N349" s="34"/>
      <c r="O349" s="34"/>
      <c r="P349" s="34"/>
      <c r="Q349" s="34"/>
      <c r="R349" s="34"/>
      <c r="S349" s="34"/>
      <c r="T349" s="34"/>
      <c r="U349" s="34"/>
      <c r="V349" s="34"/>
      <c r="W349" s="34"/>
      <c r="X349" s="34"/>
      <c r="Y349" s="34"/>
      <c r="Z349" s="34"/>
      <c r="AA349" s="34"/>
      <c r="AB349" s="34"/>
      <c r="AC349" s="34"/>
      <c r="AD349" s="34"/>
      <c r="AE349" s="34"/>
      <c r="AF349" s="34"/>
      <c r="AG349" s="34"/>
      <c r="AH349" s="34"/>
      <c r="AI349" s="34"/>
      <c r="AJ349" s="34"/>
      <c r="AK349" s="34"/>
    </row>
    <row r="350" spans="1:37">
      <c r="A350" s="3"/>
      <c r="B350" s="3"/>
      <c r="C350" s="3"/>
      <c r="D350" s="3"/>
      <c r="E350" s="3"/>
      <c r="F350" s="34"/>
      <c r="G350" s="34"/>
      <c r="H350" s="34"/>
      <c r="I350" s="34"/>
      <c r="J350" s="34"/>
      <c r="K350" s="34"/>
      <c r="L350" s="34"/>
      <c r="M350" s="34"/>
      <c r="N350" s="34"/>
      <c r="O350" s="34"/>
      <c r="P350" s="34"/>
      <c r="Q350" s="34"/>
      <c r="R350" s="34"/>
      <c r="S350" s="34"/>
      <c r="T350" s="34"/>
      <c r="U350" s="34"/>
      <c r="V350" s="34"/>
      <c r="W350" s="34"/>
      <c r="X350" s="34"/>
      <c r="Y350" s="34"/>
      <c r="Z350" s="34"/>
      <c r="AA350" s="34"/>
      <c r="AB350" s="34"/>
      <c r="AC350" s="34"/>
      <c r="AD350" s="34"/>
      <c r="AE350" s="34"/>
      <c r="AF350" s="34"/>
      <c r="AG350" s="34"/>
      <c r="AH350" s="34"/>
      <c r="AI350" s="34"/>
      <c r="AJ350" s="34"/>
      <c r="AK350" s="34"/>
    </row>
    <row r="351" spans="1:37">
      <c r="A351" s="3"/>
      <c r="B351" s="3"/>
      <c r="C351" s="3"/>
      <c r="D351" s="3"/>
      <c r="E351" s="3"/>
      <c r="F351" s="34"/>
      <c r="G351" s="34"/>
      <c r="H351" s="34"/>
      <c r="I351" s="34"/>
      <c r="J351" s="34"/>
      <c r="K351" s="34"/>
      <c r="L351" s="34"/>
      <c r="M351" s="34"/>
      <c r="N351" s="34"/>
      <c r="O351" s="34"/>
      <c r="P351" s="34"/>
      <c r="Q351" s="34"/>
      <c r="R351" s="34"/>
      <c r="S351" s="34"/>
      <c r="T351" s="34"/>
      <c r="U351" s="34"/>
      <c r="V351" s="34"/>
      <c r="W351" s="34"/>
      <c r="X351" s="34"/>
      <c r="Y351" s="34"/>
      <c r="Z351" s="34"/>
      <c r="AA351" s="34"/>
      <c r="AB351" s="34"/>
      <c r="AC351" s="34"/>
      <c r="AD351" s="34"/>
      <c r="AE351" s="34"/>
      <c r="AF351" s="34"/>
      <c r="AG351" s="34"/>
      <c r="AH351" s="34"/>
      <c r="AI351" s="34"/>
      <c r="AJ351" s="34"/>
      <c r="AK351" s="34"/>
    </row>
  </sheetData>
  <printOptions horizontalCentered="1"/>
  <pageMargins left="0.75" right="0.75" top="1" bottom="1" header="0.5" footer="0.5"/>
  <pageSetup scale="96" firstPageNumber="6" orientation="portrait" horizontalDpi="4294967292" verticalDpi="4294967292" r:id="rId1"/>
  <headerFooter alignWithMargins="0">
    <oddFooter>&amp;LScot Chambers
&amp;D&amp;CPage _____&amp;R&amp;F
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B350"/>
  <sheetViews>
    <sheetView showGridLines="0" topLeftCell="I1" zoomScale="75" workbookViewId="0">
      <selection activeCell="N29" sqref="N29"/>
    </sheetView>
  </sheetViews>
  <sheetFormatPr defaultRowHeight="12.75"/>
  <cols>
    <col min="1" max="1" width="20.42578125" customWidth="1"/>
    <col min="2" max="13" width="8.7109375" customWidth="1"/>
    <col min="18" max="26" width="8.7109375" customWidth="1"/>
    <col min="30" max="30" width="9.28515625" customWidth="1"/>
  </cols>
  <sheetData>
    <row r="1" spans="1:54" ht="15.75">
      <c r="A1" s="10" t="str">
        <f>Scope!A1</f>
        <v>City of Austin 4 x LM6000 Power Project</v>
      </c>
      <c r="B1" s="10"/>
      <c r="C1" s="10"/>
      <c r="D1" s="10"/>
      <c r="E1" s="10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</row>
    <row r="2" spans="1:54" ht="15.75">
      <c r="A2" s="89" t="s">
        <v>807</v>
      </c>
      <c r="B2" s="89"/>
      <c r="C2" s="89"/>
      <c r="D2" s="89"/>
      <c r="E2" s="89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</row>
    <row r="3" spans="1:54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41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</row>
    <row r="4" spans="1:54" ht="15">
      <c r="A4" s="90"/>
      <c r="B4" s="90"/>
      <c r="C4" s="90"/>
      <c r="D4" s="90"/>
      <c r="E4" s="90"/>
      <c r="F4" s="90"/>
      <c r="G4" s="90"/>
      <c r="H4" s="90"/>
      <c r="I4" s="90"/>
      <c r="J4" s="90"/>
      <c r="K4" s="90"/>
      <c r="L4" s="90"/>
      <c r="M4" s="90"/>
      <c r="N4" s="90"/>
      <c r="O4" s="90"/>
      <c r="P4" s="90"/>
      <c r="Q4" s="90"/>
      <c r="R4" s="90"/>
      <c r="S4" s="90"/>
      <c r="T4" s="90"/>
      <c r="U4" s="90"/>
      <c r="V4" s="90"/>
      <c r="W4" s="90"/>
      <c r="X4" s="90"/>
      <c r="Y4" s="90"/>
      <c r="Z4" s="91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</row>
    <row r="5" spans="1:54" ht="15">
      <c r="A5" s="92" t="s">
        <v>808</v>
      </c>
      <c r="B5" s="462">
        <v>6</v>
      </c>
      <c r="C5" s="463"/>
      <c r="D5" s="463"/>
      <c r="E5" s="464"/>
      <c r="F5" s="465">
        <f>B5-1</f>
        <v>5</v>
      </c>
      <c r="G5" s="463"/>
      <c r="H5" s="463"/>
      <c r="I5" s="464"/>
      <c r="J5" s="462">
        <f>F5-1</f>
        <v>4</v>
      </c>
      <c r="K5" s="463"/>
      <c r="L5" s="463"/>
      <c r="M5" s="464"/>
      <c r="N5" s="462">
        <f>J5-1</f>
        <v>3</v>
      </c>
      <c r="O5" s="463"/>
      <c r="P5" s="463"/>
      <c r="Q5" s="464"/>
      <c r="R5" s="462">
        <f>N5-1</f>
        <v>2</v>
      </c>
      <c r="S5" s="463"/>
      <c r="T5" s="463"/>
      <c r="U5" s="464"/>
      <c r="V5" s="462">
        <f>R5-1</f>
        <v>1</v>
      </c>
      <c r="W5" s="463"/>
      <c r="X5" s="463"/>
      <c r="Y5" s="464"/>
      <c r="Z5" s="93" t="s">
        <v>809</v>
      </c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</row>
    <row r="6" spans="1:54" ht="15">
      <c r="A6" s="92" t="s">
        <v>810</v>
      </c>
      <c r="B6" s="94" t="s">
        <v>592</v>
      </c>
      <c r="C6" s="95"/>
      <c r="D6" s="96"/>
      <c r="E6" s="96"/>
      <c r="F6" s="97"/>
      <c r="G6" s="98"/>
      <c r="H6" s="98"/>
      <c r="I6" s="94"/>
      <c r="J6" s="99"/>
      <c r="K6" s="95"/>
      <c r="L6" s="95"/>
      <c r="M6" s="98"/>
      <c r="N6" s="94" t="s">
        <v>591</v>
      </c>
      <c r="O6" s="99"/>
      <c r="P6" s="97"/>
      <c r="Q6" s="98"/>
      <c r="R6" s="99"/>
      <c r="S6" s="95"/>
      <c r="T6" s="101"/>
      <c r="U6" s="100"/>
      <c r="V6" s="94" t="s">
        <v>811</v>
      </c>
      <c r="W6" s="95"/>
      <c r="X6" s="95"/>
      <c r="Y6" s="102"/>
      <c r="Z6" s="10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</row>
    <row r="7" spans="1:54" ht="15">
      <c r="A7" s="92"/>
      <c r="B7" s="104"/>
      <c r="C7" s="105"/>
      <c r="D7" s="106"/>
      <c r="E7" s="105"/>
      <c r="F7" s="107"/>
      <c r="G7" s="107"/>
      <c r="H7" s="108"/>
      <c r="I7" s="108"/>
      <c r="J7" s="109"/>
      <c r="K7" s="109"/>
      <c r="L7" s="109"/>
      <c r="M7" s="110"/>
      <c r="N7" s="110"/>
      <c r="O7" s="110"/>
      <c r="P7" s="110"/>
      <c r="Q7" s="110"/>
      <c r="R7" s="110"/>
      <c r="S7" s="110"/>
      <c r="T7" s="110"/>
      <c r="U7" s="110"/>
      <c r="V7" s="110"/>
      <c r="W7" s="110"/>
      <c r="X7" s="110"/>
      <c r="Y7" s="110"/>
      <c r="Z7" s="110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</row>
    <row r="8" spans="1:54" ht="15" hidden="1">
      <c r="A8" s="111"/>
      <c r="B8" s="112" t="s">
        <v>812</v>
      </c>
      <c r="C8" s="112"/>
      <c r="D8" s="111"/>
      <c r="E8" s="112"/>
      <c r="F8" s="113"/>
      <c r="G8" s="114"/>
      <c r="H8" s="112"/>
      <c r="I8" s="115"/>
      <c r="J8" s="113"/>
      <c r="K8" s="115"/>
      <c r="L8" s="115"/>
      <c r="M8" s="112"/>
      <c r="N8" s="112"/>
      <c r="O8" s="112"/>
      <c r="P8" s="112"/>
      <c r="Q8" s="112"/>
      <c r="R8" s="112"/>
      <c r="S8" s="112"/>
      <c r="T8" s="112"/>
      <c r="U8" s="112"/>
      <c r="V8" s="112"/>
      <c r="W8" s="112"/>
      <c r="X8" s="112"/>
      <c r="Y8" s="112"/>
      <c r="Z8" s="112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</row>
    <row r="9" spans="1:54" ht="15" hidden="1">
      <c r="A9" s="111"/>
      <c r="B9" s="116"/>
      <c r="C9" s="112"/>
      <c r="D9" s="111"/>
      <c r="E9" s="112"/>
      <c r="F9" s="112" t="s">
        <v>813</v>
      </c>
      <c r="G9" s="114"/>
      <c r="H9" s="112"/>
      <c r="I9" s="115"/>
      <c r="J9" s="113"/>
      <c r="K9" s="115"/>
      <c r="L9" s="115"/>
      <c r="M9" s="112"/>
      <c r="N9" s="112"/>
      <c r="O9" s="112"/>
      <c r="P9" s="112"/>
      <c r="Q9" s="112"/>
      <c r="R9" s="112"/>
      <c r="S9" s="112"/>
      <c r="T9" s="112"/>
      <c r="U9" s="112"/>
      <c r="V9" s="112"/>
      <c r="W9" s="112"/>
      <c r="X9" s="112"/>
      <c r="Y9" s="112"/>
      <c r="Z9" s="112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</row>
    <row r="10" spans="1:54" ht="15" hidden="1">
      <c r="A10" s="111"/>
      <c r="B10" s="116"/>
      <c r="C10" s="112"/>
      <c r="D10" s="111"/>
      <c r="E10" s="112"/>
      <c r="F10" s="112" t="s">
        <v>814</v>
      </c>
      <c r="G10" s="114"/>
      <c r="H10" s="112"/>
      <c r="I10" s="115"/>
      <c r="J10" s="113"/>
      <c r="K10" s="115"/>
      <c r="L10" s="115"/>
      <c r="M10" s="112"/>
      <c r="N10" s="112"/>
      <c r="O10" s="112"/>
      <c r="P10" s="112"/>
      <c r="Q10" s="112"/>
      <c r="R10" s="112"/>
      <c r="S10" s="112"/>
      <c r="T10" s="112"/>
      <c r="U10" s="112"/>
      <c r="V10" s="112"/>
      <c r="W10" s="112"/>
      <c r="X10" s="112"/>
      <c r="Y10" s="112"/>
      <c r="Z10" s="112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</row>
    <row r="11" spans="1:54" ht="15">
      <c r="A11" s="111"/>
      <c r="B11" s="116"/>
      <c r="C11" s="112"/>
      <c r="D11" s="117"/>
      <c r="E11" s="113"/>
      <c r="F11" s="113"/>
      <c r="G11" s="114"/>
      <c r="H11" s="112"/>
      <c r="I11" s="115"/>
      <c r="J11" s="113"/>
      <c r="K11" s="115"/>
      <c r="L11" s="115"/>
      <c r="M11" s="114"/>
      <c r="N11" s="112" t="str">
        <f>Mob_Staffing!A13</f>
        <v>CONTROL ROOM TECHNICIAN</v>
      </c>
      <c r="O11" s="112"/>
      <c r="P11" s="112"/>
      <c r="Q11" s="112"/>
      <c r="R11" s="112"/>
      <c r="S11" s="112"/>
      <c r="T11" s="112"/>
      <c r="U11" s="112"/>
      <c r="V11" s="112"/>
      <c r="W11" s="112"/>
      <c r="X11" s="112"/>
      <c r="Y11" s="112"/>
      <c r="Z11" s="112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</row>
    <row r="12" spans="1:54" ht="15">
      <c r="A12" s="111"/>
      <c r="B12" s="116"/>
      <c r="C12" s="114"/>
      <c r="D12" s="114"/>
      <c r="E12" s="112"/>
      <c r="F12" s="113"/>
      <c r="G12" s="114"/>
      <c r="H12" s="112"/>
      <c r="I12" s="115"/>
      <c r="J12" s="113"/>
      <c r="K12" s="115"/>
      <c r="L12" s="115"/>
      <c r="M12" s="112"/>
      <c r="N12" s="112" t="str">
        <f>Mob_Staffing!A14</f>
        <v>OUTSIDE TECHNICIAN</v>
      </c>
      <c r="O12" s="112"/>
      <c r="P12" s="112"/>
      <c r="Q12" s="112"/>
      <c r="R12" s="112"/>
      <c r="S12" s="112"/>
      <c r="T12" s="112"/>
      <c r="U12" s="112"/>
      <c r="V12" s="112"/>
      <c r="W12" s="112"/>
      <c r="X12" s="112"/>
      <c r="Y12" s="112"/>
      <c r="Z12" s="112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</row>
    <row r="13" spans="1:54" ht="15" hidden="1">
      <c r="A13" s="118"/>
      <c r="B13" s="114"/>
      <c r="C13" s="114"/>
      <c r="D13" s="114"/>
      <c r="E13" s="114"/>
      <c r="F13" s="114"/>
      <c r="G13" s="114"/>
      <c r="H13" s="114"/>
      <c r="I13" s="114"/>
      <c r="J13" s="113"/>
      <c r="K13" s="115"/>
      <c r="L13" s="113"/>
      <c r="M13" s="113"/>
      <c r="N13" s="113"/>
      <c r="P13" s="112"/>
      <c r="Q13" s="112"/>
      <c r="R13" s="112"/>
      <c r="S13" s="112"/>
      <c r="T13" s="112"/>
      <c r="U13" s="112"/>
      <c r="V13" s="112"/>
      <c r="W13" s="112"/>
      <c r="X13" s="112"/>
      <c r="Y13" s="112"/>
      <c r="Z13" s="112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</row>
    <row r="14" spans="1:54" ht="15" hidden="1">
      <c r="A14" s="118"/>
      <c r="B14" s="114"/>
      <c r="C14" s="114"/>
      <c r="D14" s="114"/>
      <c r="E14" s="114"/>
      <c r="F14" s="114"/>
      <c r="G14" s="114"/>
      <c r="H14" s="114"/>
      <c r="I14" s="114"/>
      <c r="J14" s="113"/>
      <c r="K14" s="115"/>
      <c r="L14" s="114"/>
      <c r="M14" s="113"/>
      <c r="N14" s="113"/>
      <c r="P14" s="112"/>
      <c r="Q14" s="113"/>
      <c r="R14" s="113"/>
      <c r="T14" s="112"/>
      <c r="U14" s="112"/>
      <c r="V14" s="112"/>
      <c r="W14" s="112"/>
      <c r="X14" s="112"/>
      <c r="Y14" s="112"/>
      <c r="Z14" s="112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</row>
    <row r="15" spans="1:54" ht="15" hidden="1">
      <c r="A15" s="118"/>
      <c r="B15" s="114"/>
      <c r="C15" s="114"/>
      <c r="D15" s="114"/>
      <c r="E15" s="114"/>
      <c r="F15" s="114"/>
      <c r="G15" s="114"/>
      <c r="H15" s="114"/>
      <c r="I15" s="114"/>
      <c r="J15" s="113"/>
      <c r="K15" s="115"/>
      <c r="L15" s="114"/>
      <c r="M15" s="112"/>
      <c r="N15" s="113"/>
      <c r="P15" s="113"/>
      <c r="Q15" s="115"/>
      <c r="R15" s="113"/>
      <c r="T15" s="112"/>
      <c r="U15" s="112"/>
      <c r="V15" s="112"/>
      <c r="W15" s="112"/>
      <c r="X15" s="112"/>
      <c r="Y15" s="112"/>
      <c r="Z15" s="112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</row>
    <row r="16" spans="1:54" ht="15" hidden="1">
      <c r="A16" s="118"/>
      <c r="B16" s="114"/>
      <c r="C16" s="114"/>
      <c r="D16" s="114"/>
      <c r="E16" s="114"/>
      <c r="F16" s="114"/>
      <c r="G16" s="114"/>
      <c r="H16" s="114"/>
      <c r="I16" s="114"/>
      <c r="J16" s="113"/>
      <c r="K16" s="115"/>
      <c r="L16" s="114"/>
      <c r="M16" s="112"/>
      <c r="N16" s="112"/>
      <c r="O16" s="112"/>
      <c r="P16" s="113"/>
      <c r="Q16" s="115"/>
      <c r="R16" s="113"/>
      <c r="T16" s="112"/>
      <c r="U16" s="112"/>
      <c r="V16" s="112"/>
      <c r="W16" s="112"/>
      <c r="X16" s="112"/>
      <c r="Y16" s="112"/>
      <c r="Z16" s="112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</row>
    <row r="17" spans="1:54" ht="15">
      <c r="A17" s="118"/>
      <c r="B17" s="114"/>
      <c r="C17" s="114"/>
      <c r="D17" s="114"/>
      <c r="E17" s="114"/>
      <c r="F17" s="114"/>
      <c r="G17" s="114"/>
      <c r="H17" s="114"/>
      <c r="I17" s="114"/>
      <c r="J17" s="113"/>
      <c r="K17" s="115"/>
      <c r="L17" s="114"/>
      <c r="M17" s="112"/>
      <c r="N17" s="112"/>
      <c r="O17" s="112"/>
      <c r="P17" s="119"/>
      <c r="Q17" s="120"/>
      <c r="R17" s="119"/>
      <c r="T17" s="112"/>
      <c r="U17" s="112"/>
      <c r="V17" s="112"/>
      <c r="W17" s="112"/>
      <c r="X17" s="112"/>
      <c r="Y17" s="112"/>
      <c r="Z17" s="112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</row>
    <row r="18" spans="1:54" ht="15">
      <c r="A18" s="121"/>
      <c r="B18" s="122"/>
      <c r="C18" s="122"/>
      <c r="D18" s="122"/>
      <c r="E18" s="122"/>
      <c r="F18" s="123"/>
      <c r="G18" s="123"/>
      <c r="H18" s="123"/>
      <c r="I18" s="123"/>
      <c r="J18" s="123"/>
      <c r="K18" s="124"/>
      <c r="L18" s="124"/>
      <c r="M18" s="125"/>
      <c r="N18" s="125"/>
      <c r="O18" s="125"/>
      <c r="P18" s="125"/>
      <c r="Q18" s="125"/>
      <c r="R18" s="125"/>
      <c r="S18" s="125"/>
      <c r="T18" s="125"/>
      <c r="U18" s="125"/>
      <c r="V18" s="125"/>
      <c r="W18" s="125"/>
      <c r="X18" s="125"/>
      <c r="Y18" s="125"/>
      <c r="Z18" s="125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</row>
    <row r="19" spans="1:54" ht="15">
      <c r="A19" s="126"/>
      <c r="B19" s="127"/>
      <c r="C19" s="128"/>
      <c r="D19" s="129"/>
      <c r="E19" s="129"/>
      <c r="F19" s="129"/>
      <c r="G19" s="128"/>
      <c r="H19" s="130"/>
      <c r="I19" s="130"/>
      <c r="J19" s="130"/>
      <c r="K19" s="130"/>
      <c r="L19" s="130"/>
      <c r="M19" s="131"/>
      <c r="N19" s="131"/>
      <c r="O19" s="131"/>
      <c r="P19" s="131"/>
      <c r="Q19" s="131"/>
      <c r="R19" s="129"/>
      <c r="S19" s="130"/>
      <c r="T19" s="131"/>
      <c r="U19" s="131"/>
      <c r="V19" s="131"/>
      <c r="W19" s="131"/>
      <c r="X19" s="131"/>
      <c r="Y19" s="131"/>
      <c r="Z19" s="131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</row>
    <row r="20" spans="1:54" ht="15">
      <c r="A20" s="118" t="s">
        <v>815</v>
      </c>
      <c r="B20" s="116"/>
      <c r="C20" s="114"/>
      <c r="D20" s="112"/>
      <c r="E20" s="112"/>
      <c r="F20" s="112"/>
      <c r="G20" s="114"/>
      <c r="H20" s="114"/>
      <c r="I20" s="114"/>
      <c r="J20" s="114"/>
      <c r="K20" s="114"/>
      <c r="L20" s="114"/>
      <c r="M20" s="112"/>
      <c r="N20" s="112"/>
      <c r="O20" s="112"/>
      <c r="P20" s="112"/>
      <c r="Q20" s="112"/>
      <c r="R20" s="113"/>
      <c r="T20" s="112"/>
      <c r="U20" s="112"/>
      <c r="V20" s="112"/>
      <c r="W20" s="112"/>
      <c r="X20" s="112"/>
      <c r="Y20" s="112"/>
      <c r="Z20" s="112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</row>
    <row r="21" spans="1:54" ht="15" hidden="1">
      <c r="A21" s="118"/>
      <c r="B21" s="116"/>
      <c r="C21" s="114"/>
      <c r="D21" s="112"/>
      <c r="E21" s="112"/>
      <c r="F21" s="114" t="s">
        <v>816</v>
      </c>
      <c r="G21" s="114"/>
      <c r="H21" s="114"/>
      <c r="I21" s="114"/>
      <c r="J21" s="114"/>
      <c r="K21" s="114"/>
      <c r="L21" s="114"/>
      <c r="M21" s="112"/>
      <c r="N21" s="112"/>
      <c r="O21" s="112"/>
      <c r="Q21" s="112"/>
      <c r="R21" s="112"/>
      <c r="S21" s="114"/>
      <c r="T21" s="112"/>
      <c r="U21" s="112"/>
      <c r="V21" s="112"/>
      <c r="W21" s="112"/>
      <c r="X21" s="112"/>
      <c r="Y21" s="112"/>
      <c r="Z21" s="112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</row>
    <row r="22" spans="1:54" ht="15" hidden="1">
      <c r="A22" s="118"/>
      <c r="B22" s="116"/>
      <c r="C22" s="114"/>
      <c r="D22" s="112"/>
      <c r="E22" s="112"/>
      <c r="F22" s="114" t="s">
        <v>817</v>
      </c>
      <c r="G22" s="114"/>
      <c r="H22" s="114"/>
      <c r="I22" s="114"/>
      <c r="J22" s="114"/>
      <c r="K22" s="114"/>
      <c r="L22" s="114"/>
      <c r="M22" s="112"/>
      <c r="N22" s="112"/>
      <c r="O22" s="112"/>
      <c r="Q22" s="112"/>
      <c r="R22" s="112"/>
      <c r="S22" s="114"/>
      <c r="T22" s="112"/>
      <c r="U22" s="112"/>
      <c r="V22" s="112"/>
      <c r="W22" s="112"/>
      <c r="X22" s="112"/>
      <c r="Y22" s="112"/>
      <c r="Z22" s="112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</row>
    <row r="23" spans="1:54" ht="15">
      <c r="A23" s="118"/>
      <c r="B23" s="116"/>
      <c r="C23" s="114"/>
      <c r="D23" s="112"/>
      <c r="E23" s="112"/>
      <c r="F23" s="112"/>
      <c r="G23" s="114"/>
      <c r="H23" s="114"/>
      <c r="I23" s="114"/>
      <c r="J23" s="114" t="s">
        <v>818</v>
      </c>
      <c r="K23" s="115"/>
      <c r="L23" s="114"/>
      <c r="M23" s="112"/>
      <c r="N23" s="112"/>
      <c r="O23" s="112"/>
      <c r="P23" s="114"/>
      <c r="Q23" s="112"/>
      <c r="R23" s="113"/>
      <c r="T23" s="112"/>
      <c r="U23" s="112"/>
      <c r="V23" s="112"/>
      <c r="W23" s="112"/>
      <c r="X23" s="112"/>
      <c r="Y23" s="112"/>
      <c r="Z23" s="112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</row>
    <row r="24" spans="1:54" ht="15" hidden="1">
      <c r="A24" s="118"/>
      <c r="B24" s="116"/>
      <c r="C24" s="114"/>
      <c r="D24" s="112"/>
      <c r="E24" s="112"/>
      <c r="F24" s="112"/>
      <c r="G24" s="114"/>
      <c r="H24" s="114"/>
      <c r="I24" s="114"/>
      <c r="J24" s="114" t="s">
        <v>819</v>
      </c>
      <c r="K24" s="115"/>
      <c r="L24" s="114"/>
      <c r="M24" s="111"/>
      <c r="N24" s="112"/>
      <c r="O24" s="112"/>
      <c r="P24" s="112"/>
      <c r="Q24" s="112"/>
      <c r="R24" s="113"/>
      <c r="T24" s="112"/>
      <c r="U24" s="112"/>
      <c r="V24" s="112"/>
      <c r="W24" s="112"/>
      <c r="X24" s="112"/>
      <c r="Y24" s="112"/>
      <c r="Z24" s="112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</row>
    <row r="25" spans="1:54" ht="15">
      <c r="A25" s="118"/>
      <c r="B25" s="116"/>
      <c r="C25" s="114"/>
      <c r="D25" s="112"/>
      <c r="E25" s="112"/>
      <c r="F25" s="112"/>
      <c r="G25" s="114"/>
      <c r="H25" s="114"/>
      <c r="I25" s="114"/>
      <c r="J25" s="114"/>
      <c r="K25" s="114"/>
      <c r="M25" s="113"/>
      <c r="N25" s="112" t="s">
        <v>820</v>
      </c>
      <c r="O25" s="112"/>
      <c r="P25" s="112"/>
      <c r="Q25" s="112"/>
      <c r="R25" s="113"/>
      <c r="T25" s="112"/>
      <c r="U25" s="112"/>
      <c r="V25" s="112"/>
      <c r="W25" s="112"/>
      <c r="X25" s="112"/>
      <c r="Y25" s="112"/>
      <c r="Z25" s="112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</row>
    <row r="26" spans="1:54" ht="15">
      <c r="A26" s="118"/>
      <c r="B26" s="116"/>
      <c r="C26" s="114"/>
      <c r="D26" s="112"/>
      <c r="E26" s="112"/>
      <c r="F26" s="112"/>
      <c r="G26" s="114"/>
      <c r="H26" s="114"/>
      <c r="I26" s="114"/>
      <c r="J26" s="114"/>
      <c r="K26" s="114"/>
      <c r="M26" s="113"/>
      <c r="N26" s="112" t="s">
        <v>821</v>
      </c>
      <c r="P26" s="112"/>
      <c r="Q26" s="112"/>
      <c r="R26" s="113"/>
      <c r="T26" s="112"/>
      <c r="U26" s="112"/>
      <c r="V26" s="112"/>
      <c r="W26" s="112"/>
      <c r="X26" s="112"/>
      <c r="Y26" s="112"/>
      <c r="Z26" s="112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</row>
    <row r="27" spans="1:54" ht="15">
      <c r="A27" s="118"/>
      <c r="B27" s="116"/>
      <c r="C27" s="114"/>
      <c r="D27" s="112"/>
      <c r="E27" s="112"/>
      <c r="F27" s="112"/>
      <c r="G27" s="114"/>
      <c r="H27" s="114"/>
      <c r="I27" s="114"/>
      <c r="J27" s="114"/>
      <c r="K27" s="114"/>
      <c r="L27" s="114"/>
      <c r="M27" s="112"/>
      <c r="N27" s="112"/>
      <c r="O27" s="112"/>
      <c r="P27" s="112"/>
      <c r="Q27" s="112"/>
      <c r="R27" s="112"/>
      <c r="S27" s="114"/>
      <c r="T27" s="112"/>
      <c r="U27" s="112"/>
      <c r="V27" s="112"/>
      <c r="W27" s="112"/>
      <c r="X27" s="112"/>
      <c r="Y27" s="112"/>
      <c r="Z27" s="112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</row>
    <row r="28" spans="1:54" ht="15">
      <c r="A28" s="118"/>
      <c r="B28" s="116"/>
      <c r="C28" s="114"/>
      <c r="D28" s="112"/>
      <c r="E28" s="112"/>
      <c r="F28" s="112"/>
      <c r="G28" s="114"/>
      <c r="H28" s="114"/>
      <c r="I28" s="114"/>
      <c r="J28" s="114"/>
      <c r="K28" s="114"/>
      <c r="L28" s="114"/>
      <c r="M28" s="112"/>
      <c r="N28" s="112"/>
      <c r="O28" s="112"/>
      <c r="P28" s="112"/>
      <c r="Q28" s="112"/>
      <c r="R28" s="112"/>
      <c r="S28" s="112"/>
      <c r="T28" s="112"/>
      <c r="U28" s="112"/>
      <c r="V28" s="112"/>
      <c r="W28" s="112"/>
      <c r="X28" s="112"/>
      <c r="Y28" s="112"/>
      <c r="Z28" s="112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</row>
    <row r="29" spans="1:54" ht="15">
      <c r="A29" s="118"/>
      <c r="B29" s="116"/>
      <c r="C29" s="114"/>
      <c r="D29" s="112"/>
      <c r="E29" s="112"/>
      <c r="F29" s="112"/>
      <c r="G29" s="114"/>
      <c r="H29" s="114"/>
      <c r="I29" s="114"/>
      <c r="J29" s="114"/>
      <c r="K29" s="114"/>
      <c r="L29" s="114"/>
      <c r="M29" s="112"/>
      <c r="N29" s="112"/>
      <c r="O29" s="112"/>
      <c r="P29" s="112"/>
      <c r="Q29" s="112"/>
      <c r="R29" s="112"/>
      <c r="S29" s="112"/>
      <c r="T29" s="112"/>
      <c r="U29" s="112"/>
      <c r="V29" s="112"/>
      <c r="W29" s="112"/>
      <c r="X29" s="112"/>
      <c r="Y29" s="112"/>
      <c r="Z29" s="112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</row>
    <row r="30" spans="1:54" ht="15">
      <c r="A30" s="118"/>
      <c r="B30" s="116"/>
      <c r="C30" s="114"/>
      <c r="D30" s="112"/>
      <c r="E30" s="112"/>
      <c r="F30" s="112"/>
      <c r="G30" s="114"/>
      <c r="H30" s="114"/>
      <c r="I30" s="114"/>
      <c r="J30" s="114"/>
      <c r="K30" s="114"/>
      <c r="L30" s="114"/>
      <c r="M30" s="112"/>
      <c r="N30" s="112"/>
      <c r="O30" s="112"/>
      <c r="P30" s="112"/>
      <c r="Q30" s="112"/>
      <c r="R30" s="112"/>
      <c r="S30" s="112"/>
      <c r="T30" s="112"/>
      <c r="U30" s="112"/>
      <c r="V30" s="112"/>
      <c r="W30" s="112"/>
      <c r="X30" s="112"/>
      <c r="Y30" s="112"/>
      <c r="Z30" s="112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</row>
    <row r="31" spans="1:54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</row>
    <row r="32" spans="1:54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</row>
    <row r="33" spans="1:54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</row>
    <row r="34" spans="1:5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</row>
    <row r="35" spans="1:54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</row>
    <row r="36" spans="1:54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</row>
    <row r="37" spans="1:54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</row>
    <row r="38" spans="1:54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</row>
    <row r="39" spans="1:54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</row>
    <row r="40" spans="1:54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</row>
    <row r="41" spans="1:54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</row>
    <row r="42" spans="1:54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</row>
    <row r="43" spans="1:54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</row>
    <row r="44" spans="1:5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</row>
    <row r="45" spans="1:54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</row>
    <row r="46" spans="1:54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</row>
    <row r="47" spans="1:54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</row>
    <row r="48" spans="1:54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</row>
    <row r="49" spans="1:54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</row>
    <row r="50" spans="1:54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</row>
    <row r="51" spans="1:54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</row>
    <row r="52" spans="1:54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</row>
    <row r="53" spans="1:54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</row>
    <row r="54" spans="1: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</row>
    <row r="55" spans="1:54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</row>
    <row r="56" spans="1:54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</row>
    <row r="57" spans="1:54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</row>
    <row r="58" spans="1:54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</row>
    <row r="59" spans="1:54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</row>
    <row r="60" spans="1:54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</row>
    <row r="61" spans="1:54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</row>
    <row r="62" spans="1:54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</row>
    <row r="63" spans="1:54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</row>
    <row r="64" spans="1:5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</row>
    <row r="65" spans="1:54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</row>
    <row r="66" spans="1:54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</row>
    <row r="67" spans="1:54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</row>
    <row r="68" spans="1:54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</row>
    <row r="69" spans="1:54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</row>
    <row r="70" spans="1:54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</row>
    <row r="71" spans="1:54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</row>
    <row r="72" spans="1:54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</row>
    <row r="73" spans="1:54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</row>
    <row r="74" spans="1:5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</row>
    <row r="75" spans="1:54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</row>
    <row r="76" spans="1:54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</row>
    <row r="77" spans="1:54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</row>
    <row r="78" spans="1:54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</row>
    <row r="79" spans="1:54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</row>
    <row r="80" spans="1:54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</row>
    <row r="81" spans="1:54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</row>
    <row r="82" spans="1:54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</row>
    <row r="83" spans="1:54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</row>
    <row r="84" spans="1:5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</row>
    <row r="85" spans="1:54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</row>
    <row r="86" spans="1:54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</row>
    <row r="87" spans="1:54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</row>
    <row r="88" spans="1:54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</row>
    <row r="89" spans="1:54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</row>
    <row r="90" spans="1:54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</row>
    <row r="91" spans="1:54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</row>
    <row r="92" spans="1:54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</row>
    <row r="93" spans="1:54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</row>
    <row r="94" spans="1:5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</row>
    <row r="95" spans="1:54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</row>
    <row r="96" spans="1:54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</row>
    <row r="97" spans="1:54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</row>
    <row r="98" spans="1:54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</row>
    <row r="99" spans="1:54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</row>
    <row r="100" spans="1:54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</row>
    <row r="101" spans="1:54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</row>
    <row r="102" spans="1:54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</row>
    <row r="103" spans="1:54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</row>
    <row r="104" spans="1:5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</row>
    <row r="105" spans="1:54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</row>
    <row r="106" spans="1:54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</row>
    <row r="107" spans="1:54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</row>
    <row r="108" spans="1:54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</row>
    <row r="109" spans="1:54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</row>
    <row r="110" spans="1:54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</row>
    <row r="111" spans="1:54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</row>
    <row r="112" spans="1:54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</row>
    <row r="113" spans="1:54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</row>
    <row r="114" spans="1:5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</row>
    <row r="115" spans="1:54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</row>
    <row r="116" spans="1:54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</row>
    <row r="117" spans="1:54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</row>
    <row r="118" spans="1:54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</row>
    <row r="119" spans="1:54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</row>
    <row r="120" spans="1:54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</row>
    <row r="121" spans="1:54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</row>
    <row r="122" spans="1:54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</row>
    <row r="123" spans="1:54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</row>
    <row r="124" spans="1:5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</row>
    <row r="125" spans="1:54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</row>
    <row r="126" spans="1:54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</row>
    <row r="127" spans="1:54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</row>
    <row r="128" spans="1:54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</row>
    <row r="129" spans="1:54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</row>
    <row r="130" spans="1:54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</row>
    <row r="131" spans="1:54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</row>
    <row r="132" spans="1:54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</row>
    <row r="133" spans="1:54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</row>
    <row r="134" spans="1:5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</row>
    <row r="135" spans="1:54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</row>
    <row r="136" spans="1:54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</row>
    <row r="137" spans="1:54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</row>
    <row r="138" spans="1:54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</row>
    <row r="139" spans="1:54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</row>
    <row r="140" spans="1:54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</row>
    <row r="141" spans="1:54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</row>
    <row r="142" spans="1:54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</row>
    <row r="143" spans="1:54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</row>
    <row r="144" spans="1:5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</row>
    <row r="145" spans="1:54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</row>
    <row r="146" spans="1:54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</row>
    <row r="147" spans="1:54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</row>
    <row r="148" spans="1:54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</row>
    <row r="149" spans="1:54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</row>
    <row r="150" spans="1:54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</row>
    <row r="151" spans="1:54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</row>
    <row r="152" spans="1:54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</row>
    <row r="153" spans="1:54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</row>
    <row r="154" spans="1: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</row>
    <row r="155" spans="1:54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</row>
    <row r="156" spans="1:54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</row>
    <row r="157" spans="1:54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</row>
    <row r="158" spans="1:54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</row>
    <row r="159" spans="1:54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</row>
    <row r="160" spans="1:54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</row>
    <row r="161" spans="1:54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</row>
    <row r="162" spans="1:54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</row>
    <row r="163" spans="1:54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</row>
    <row r="164" spans="1:5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</row>
    <row r="165" spans="1:54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</row>
    <row r="166" spans="1:54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</row>
    <row r="167" spans="1:54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</row>
    <row r="168" spans="1:54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</row>
    <row r="169" spans="1:54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</row>
    <row r="170" spans="1:54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</row>
    <row r="171" spans="1:54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</row>
    <row r="172" spans="1:54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</row>
    <row r="173" spans="1:54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</row>
    <row r="174" spans="1:5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</row>
    <row r="175" spans="1:54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</row>
    <row r="176" spans="1:54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</row>
    <row r="177" spans="1:54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</row>
    <row r="178" spans="1:54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</row>
    <row r="179" spans="1:54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</row>
    <row r="180" spans="1:54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</row>
    <row r="181" spans="1:54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</row>
    <row r="182" spans="1:54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</row>
    <row r="183" spans="1:54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</row>
    <row r="184" spans="1:5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</row>
    <row r="185" spans="1:54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</row>
    <row r="186" spans="1:54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</row>
    <row r="187" spans="1:54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</row>
    <row r="188" spans="1:54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</row>
    <row r="189" spans="1:54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</row>
    <row r="190" spans="1:54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</row>
    <row r="191" spans="1:54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</row>
    <row r="192" spans="1:54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</row>
    <row r="193" spans="1:54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</row>
    <row r="194" spans="1:5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</row>
    <row r="195" spans="1:54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</row>
    <row r="196" spans="1:54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</row>
    <row r="197" spans="1:54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</row>
    <row r="198" spans="1:54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</row>
    <row r="199" spans="1:54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</row>
    <row r="200" spans="1:54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</row>
    <row r="201" spans="1:54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</row>
    <row r="202" spans="1:54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</row>
    <row r="203" spans="1:54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</row>
    <row r="204" spans="1:5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</row>
    <row r="205" spans="1:54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</row>
    <row r="206" spans="1:54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</row>
    <row r="207" spans="1:54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</row>
    <row r="208" spans="1:54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</row>
    <row r="209" spans="1:54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</row>
    <row r="210" spans="1:54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</row>
    <row r="211" spans="1:54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</row>
    <row r="212" spans="1:54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</row>
    <row r="213" spans="1:54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</row>
    <row r="214" spans="1:5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</row>
    <row r="215" spans="1:54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</row>
    <row r="216" spans="1:54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</row>
    <row r="217" spans="1:54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</row>
    <row r="218" spans="1:54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</row>
    <row r="219" spans="1:54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</row>
    <row r="220" spans="1:54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</row>
    <row r="221" spans="1:54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</row>
    <row r="222" spans="1:54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</row>
    <row r="223" spans="1:54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</row>
    <row r="224" spans="1:5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</row>
    <row r="225" spans="1:54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</row>
    <row r="226" spans="1:54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</row>
    <row r="227" spans="1:54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</row>
    <row r="228" spans="1:54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</row>
    <row r="229" spans="1:54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</row>
    <row r="230" spans="1:54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</row>
    <row r="231" spans="1:54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</row>
    <row r="232" spans="1:54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</row>
    <row r="233" spans="1:54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</row>
    <row r="234" spans="1:5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</row>
    <row r="235" spans="1:54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</row>
    <row r="236" spans="1:54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</row>
    <row r="237" spans="1:54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</row>
    <row r="238" spans="1:54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</row>
    <row r="239" spans="1:54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</row>
    <row r="240" spans="1:54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</row>
    <row r="241" spans="1:54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</row>
    <row r="242" spans="1:54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</row>
    <row r="243" spans="1:54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</row>
    <row r="244" spans="1:5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</row>
    <row r="245" spans="1:54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</row>
    <row r="246" spans="1:54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</row>
    <row r="247" spans="1:54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</row>
    <row r="248" spans="1:54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</row>
    <row r="249" spans="1:54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</row>
    <row r="250" spans="1:54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</row>
    <row r="251" spans="1:54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</row>
    <row r="252" spans="1:54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</row>
    <row r="253" spans="1:54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</row>
    <row r="254" spans="1: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</row>
    <row r="255" spans="1:54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</row>
    <row r="256" spans="1:54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</row>
    <row r="257" spans="1:54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</row>
    <row r="258" spans="1:54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</row>
    <row r="259" spans="1:54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</row>
    <row r="260" spans="1:54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</row>
    <row r="261" spans="1:54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</row>
    <row r="262" spans="1:54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</row>
    <row r="263" spans="1:54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</row>
    <row r="264" spans="1:5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</row>
    <row r="265" spans="1:54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</row>
    <row r="266" spans="1:54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</row>
    <row r="267" spans="1:54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</row>
    <row r="268" spans="1:54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</row>
    <row r="269" spans="1:54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</row>
    <row r="270" spans="1:54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</row>
    <row r="271" spans="1:54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</row>
    <row r="272" spans="1:54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</row>
    <row r="273" spans="1:54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</row>
    <row r="274" spans="1:5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</row>
    <row r="275" spans="1:54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</row>
    <row r="276" spans="1:54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</row>
    <row r="277" spans="1:54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</row>
    <row r="278" spans="1:54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</row>
    <row r="279" spans="1:54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</row>
    <row r="280" spans="1:54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</row>
    <row r="281" spans="1:54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</row>
    <row r="282" spans="1:54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</row>
    <row r="283" spans="1:54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</row>
    <row r="284" spans="1:5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</row>
    <row r="285" spans="1:54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</row>
    <row r="286" spans="1:54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</row>
    <row r="287" spans="1:54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</row>
    <row r="288" spans="1:54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</row>
    <row r="289" spans="1:54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</row>
    <row r="290" spans="1:54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</row>
    <row r="291" spans="1:54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</row>
    <row r="292" spans="1:54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</row>
    <row r="293" spans="1:54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</row>
    <row r="294" spans="1:5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</row>
    <row r="295" spans="1:54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</row>
    <row r="296" spans="1:54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</row>
    <row r="297" spans="1:54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</row>
    <row r="298" spans="1:54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</row>
    <row r="299" spans="1:54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</row>
    <row r="300" spans="1:54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</row>
    <row r="301" spans="1:54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</row>
    <row r="302" spans="1:54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</row>
    <row r="303" spans="1:54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</row>
    <row r="304" spans="1:5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</row>
    <row r="305" spans="1:54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</row>
    <row r="306" spans="1:54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</row>
    <row r="307" spans="1:54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</row>
    <row r="308" spans="1:54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</row>
    <row r="309" spans="1:54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</row>
    <row r="310" spans="1:54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</row>
    <row r="311" spans="1:54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</row>
    <row r="312" spans="1:54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</row>
    <row r="313" spans="1:54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</row>
    <row r="314" spans="1:5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</row>
    <row r="315" spans="1:54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</row>
    <row r="316" spans="1:54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</row>
    <row r="317" spans="1:54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</row>
    <row r="318" spans="1:54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</row>
    <row r="319" spans="1:54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</row>
    <row r="320" spans="1:54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</row>
    <row r="321" spans="1:54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</row>
    <row r="322" spans="1:54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</row>
    <row r="323" spans="1:54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</row>
    <row r="324" spans="1:5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</row>
    <row r="325" spans="1:54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</row>
    <row r="326" spans="1:54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</row>
    <row r="327" spans="1:54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</row>
    <row r="328" spans="1:54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</row>
    <row r="329" spans="1:54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</row>
    <row r="330" spans="1:54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</row>
    <row r="331" spans="1:54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</row>
    <row r="332" spans="1:54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</row>
    <row r="333" spans="1:54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</row>
    <row r="334" spans="1:5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</row>
    <row r="335" spans="1:54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</row>
    <row r="336" spans="1:54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  <c r="BA336" s="3"/>
      <c r="BB336" s="3"/>
    </row>
    <row r="337" spans="1:54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  <c r="BB337" s="3"/>
    </row>
    <row r="338" spans="1:54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</row>
    <row r="339" spans="1:54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</row>
    <row r="340" spans="1:54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</row>
    <row r="341" spans="1:54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</row>
    <row r="342" spans="1:54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3"/>
      <c r="BA342" s="3"/>
      <c r="BB342" s="3"/>
    </row>
    <row r="343" spans="1:54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  <c r="BB343" s="3"/>
    </row>
    <row r="344" spans="1:5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</row>
    <row r="345" spans="1:54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</row>
    <row r="346" spans="1:54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</row>
    <row r="347" spans="1:54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</row>
    <row r="348" spans="1:54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</row>
    <row r="349" spans="1:54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</row>
    <row r="350" spans="1:54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  <c r="BB350" s="3"/>
    </row>
  </sheetData>
  <mergeCells count="6">
    <mergeCell ref="R5:U5"/>
    <mergeCell ref="V5:Y5"/>
    <mergeCell ref="B5:E5"/>
    <mergeCell ref="F5:I5"/>
    <mergeCell ref="J5:M5"/>
    <mergeCell ref="N5:Q5"/>
  </mergeCells>
  <printOptions horizontalCentered="1"/>
  <pageMargins left="0.75" right="0.75" top="1" bottom="1" header="0.5" footer="0.5"/>
  <pageSetup scale="51" orientation="landscape" horizontalDpi="4294967292" verticalDpi="4294967292" r:id="rId1"/>
  <headerFooter alignWithMargins="0">
    <oddFooter>&amp;LScot Chambers
&amp;D&amp;CPage _____&amp;R&amp;F
&amp;A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0"/>
  <sheetViews>
    <sheetView zoomScale="75" workbookViewId="0">
      <selection activeCell="A21" sqref="A21"/>
    </sheetView>
  </sheetViews>
  <sheetFormatPr defaultRowHeight="12.75"/>
  <cols>
    <col min="1" max="1" width="32.140625" customWidth="1"/>
    <col min="6" max="6" width="10.85546875" bestFit="1" customWidth="1"/>
  </cols>
  <sheetData>
    <row r="1" spans="1:10" ht="15.75">
      <c r="A1" s="10" t="str">
        <f>Scope!A1</f>
        <v>City of Austin 4 x LM6000 Power Project</v>
      </c>
      <c r="B1" s="2"/>
      <c r="C1" s="2"/>
      <c r="D1" s="2"/>
      <c r="E1" s="2"/>
      <c r="F1" s="2"/>
      <c r="G1" s="2"/>
      <c r="H1" s="2"/>
      <c r="I1" s="2"/>
      <c r="J1" s="3"/>
    </row>
    <row r="2" spans="1:10" ht="15.75">
      <c r="A2" s="89" t="s">
        <v>643</v>
      </c>
      <c r="B2" s="2"/>
      <c r="C2" s="2"/>
      <c r="D2" s="2"/>
      <c r="E2" s="2"/>
      <c r="F2" s="2"/>
      <c r="G2" s="2"/>
      <c r="H2" s="2"/>
      <c r="I2" s="2"/>
      <c r="J2" s="3"/>
    </row>
    <row r="3" spans="1:10" ht="13.5" thickBot="1">
      <c r="A3" s="3"/>
      <c r="B3" s="3"/>
      <c r="C3" s="3"/>
      <c r="D3" s="3"/>
      <c r="E3" s="3"/>
      <c r="F3" s="3"/>
      <c r="G3" s="3"/>
      <c r="H3" s="3"/>
      <c r="I3" s="3"/>
      <c r="J3" s="3"/>
    </row>
    <row r="4" spans="1:10">
      <c r="A4" s="73"/>
      <c r="B4" s="132"/>
      <c r="C4" s="132" t="s">
        <v>822</v>
      </c>
      <c r="D4" s="132" t="s">
        <v>823</v>
      </c>
      <c r="E4" s="132" t="s">
        <v>824</v>
      </c>
      <c r="F4" s="132" t="s">
        <v>825</v>
      </c>
      <c r="G4" s="73"/>
      <c r="H4" s="73"/>
      <c r="I4" s="73"/>
      <c r="J4" s="73"/>
    </row>
    <row r="5" spans="1:10">
      <c r="A5" s="73"/>
      <c r="B5" s="133" t="s">
        <v>826</v>
      </c>
      <c r="C5" s="133" t="s">
        <v>827</v>
      </c>
      <c r="D5" s="133" t="s">
        <v>828</v>
      </c>
      <c r="E5" s="133" t="s">
        <v>829</v>
      </c>
      <c r="F5" s="133" t="s">
        <v>830</v>
      </c>
      <c r="G5" s="73"/>
      <c r="H5" s="73"/>
      <c r="I5" s="73"/>
      <c r="J5" s="73"/>
    </row>
    <row r="6" spans="1:10" ht="13.5" thickBot="1">
      <c r="A6" s="73"/>
      <c r="B6" s="134" t="s">
        <v>831</v>
      </c>
      <c r="C6" s="134" t="s">
        <v>832</v>
      </c>
      <c r="D6" s="135" t="s">
        <v>833</v>
      </c>
      <c r="E6" s="135" t="s">
        <v>834</v>
      </c>
      <c r="F6" s="135" t="s">
        <v>759</v>
      </c>
      <c r="G6" s="73"/>
      <c r="H6" s="73"/>
      <c r="I6" s="73"/>
      <c r="J6" s="73"/>
    </row>
    <row r="7" spans="1:10">
      <c r="A7" s="73"/>
      <c r="B7" s="136"/>
      <c r="C7" s="136"/>
      <c r="D7" s="136"/>
      <c r="E7" s="137"/>
      <c r="F7" s="138"/>
      <c r="G7" s="73"/>
      <c r="H7" s="73"/>
      <c r="I7" s="73"/>
      <c r="J7" s="73"/>
    </row>
    <row r="8" spans="1:10" hidden="1">
      <c r="A8" s="73" t="s">
        <v>812</v>
      </c>
      <c r="B8" s="139">
        <v>0</v>
      </c>
      <c r="C8" s="140" t="s">
        <v>835</v>
      </c>
      <c r="D8" s="139">
        <v>6</v>
      </c>
      <c r="E8" s="141">
        <f>Plt_Staff!H8/12</f>
        <v>0</v>
      </c>
      <c r="F8" s="142">
        <f>E8*D8*B8</f>
        <v>0</v>
      </c>
      <c r="G8" s="73"/>
      <c r="H8" s="73"/>
      <c r="I8" s="73"/>
      <c r="J8" s="73"/>
    </row>
    <row r="9" spans="1:10" hidden="1">
      <c r="A9" s="73" t="s">
        <v>836</v>
      </c>
      <c r="B9" s="139">
        <v>0</v>
      </c>
      <c r="C9" s="140" t="s">
        <v>837</v>
      </c>
      <c r="D9" s="139">
        <v>0</v>
      </c>
      <c r="E9" s="141"/>
      <c r="F9" s="142">
        <f>E9*D9*B9</f>
        <v>0</v>
      </c>
      <c r="G9" s="73"/>
      <c r="H9" s="73"/>
      <c r="I9" s="73"/>
      <c r="J9" s="73"/>
    </row>
    <row r="10" spans="1:10" hidden="1">
      <c r="A10" s="73" t="s">
        <v>838</v>
      </c>
      <c r="B10" s="139">
        <v>0</v>
      </c>
      <c r="C10" s="140" t="s">
        <v>835</v>
      </c>
      <c r="D10" s="139">
        <v>0</v>
      </c>
      <c r="E10" s="141"/>
      <c r="F10" s="142">
        <f>E10*D10*B10</f>
        <v>0</v>
      </c>
      <c r="G10" s="73"/>
      <c r="H10" s="73"/>
      <c r="I10" s="73"/>
      <c r="J10" s="73"/>
    </row>
    <row r="11" spans="1:10" hidden="1">
      <c r="A11" s="73" t="s">
        <v>813</v>
      </c>
      <c r="B11" s="139">
        <v>0</v>
      </c>
      <c r="C11" s="140" t="s">
        <v>835</v>
      </c>
      <c r="D11" s="139">
        <v>5</v>
      </c>
      <c r="E11" s="141">
        <f>Plt_Staff!H9/12</f>
        <v>0</v>
      </c>
      <c r="F11" s="142">
        <f>E11*D11*B11</f>
        <v>0</v>
      </c>
      <c r="G11" s="73"/>
      <c r="H11" s="73"/>
      <c r="I11" s="73"/>
      <c r="J11" s="73"/>
    </row>
    <row r="12" spans="1:10" hidden="1">
      <c r="A12" s="73" t="s">
        <v>839</v>
      </c>
      <c r="B12" s="139">
        <v>0</v>
      </c>
      <c r="C12" s="140" t="s">
        <v>840</v>
      </c>
      <c r="D12" s="139">
        <v>5</v>
      </c>
      <c r="E12" s="141">
        <f>Plt_Staff!H10/12</f>
        <v>0</v>
      </c>
      <c r="F12" s="142">
        <f>E12*D12*B12</f>
        <v>0</v>
      </c>
      <c r="G12" s="73"/>
      <c r="H12" s="73"/>
      <c r="I12" s="73"/>
      <c r="J12" s="73"/>
    </row>
    <row r="13" spans="1:10">
      <c r="A13" s="73" t="s">
        <v>618</v>
      </c>
      <c r="B13" s="139">
        <f>'Pay &amp; Benefits Calculations'!N34</f>
        <v>3</v>
      </c>
      <c r="C13" s="140" t="s">
        <v>842</v>
      </c>
      <c r="D13" s="139">
        <v>3</v>
      </c>
      <c r="E13" s="141">
        <f>('Pay &amp; Benefits Calculations'!P34+'Pay &amp; Benefits Calculations'!P52)/'Pay &amp; Benefits Calculations'!O34*160</f>
        <v>24577.11932307692</v>
      </c>
      <c r="F13" s="142">
        <f>E13*D13</f>
        <v>73731.357969230769</v>
      </c>
      <c r="G13" s="73"/>
      <c r="H13" s="73"/>
      <c r="I13" s="73"/>
      <c r="J13" s="73"/>
    </row>
    <row r="14" spans="1:10">
      <c r="A14" s="73" t="s">
        <v>619</v>
      </c>
      <c r="B14" s="139">
        <f>'Pay &amp; Benefits Calculations'!N35</f>
        <v>2</v>
      </c>
      <c r="C14" s="140" t="s">
        <v>842</v>
      </c>
      <c r="D14" s="139">
        <v>3</v>
      </c>
      <c r="E14" s="141">
        <f>('Pay &amp; Benefits Calculations'!P35+'Pay &amp; Benefits Calculations'!P53)/'Pay &amp; Benefits Calculations'!O35*160</f>
        <v>14517.176039384616</v>
      </c>
      <c r="F14" s="142">
        <f>E14*D14</f>
        <v>43551.528118153845</v>
      </c>
      <c r="G14" s="73"/>
      <c r="H14" s="73"/>
      <c r="I14" s="73"/>
      <c r="J14" s="73"/>
    </row>
    <row r="15" spans="1:10">
      <c r="A15" s="73" t="s">
        <v>844</v>
      </c>
      <c r="B15" s="139"/>
      <c r="C15" s="140"/>
      <c r="D15" s="139"/>
      <c r="E15" s="141"/>
      <c r="F15" s="142">
        <f>Plt_Staff!H18/12*D14*2</f>
        <v>0</v>
      </c>
      <c r="G15" s="73"/>
      <c r="H15" s="73"/>
      <c r="I15" s="73"/>
      <c r="J15" s="73"/>
    </row>
    <row r="16" spans="1:10" ht="13.5" thickBot="1">
      <c r="A16" s="73"/>
      <c r="B16" s="135"/>
      <c r="C16" s="143"/>
      <c r="D16" s="135"/>
      <c r="E16" s="144"/>
      <c r="F16" s="145"/>
      <c r="G16" s="73"/>
      <c r="H16" s="73"/>
      <c r="I16" s="73"/>
      <c r="J16" s="73"/>
    </row>
    <row r="17" spans="1:10">
      <c r="A17" s="73"/>
      <c r="B17" s="146"/>
      <c r="C17" s="146"/>
      <c r="D17" s="146"/>
      <c r="E17" s="147"/>
      <c r="F17" s="147"/>
      <c r="G17" s="73"/>
      <c r="H17" s="73"/>
      <c r="I17" s="73"/>
      <c r="J17" s="73"/>
    </row>
    <row r="18" spans="1:10" ht="13.5" thickBot="1">
      <c r="A18" s="20"/>
      <c r="B18" s="146"/>
      <c r="C18" s="146"/>
      <c r="D18" s="146"/>
      <c r="E18" s="148"/>
      <c r="F18" s="147"/>
      <c r="G18" s="20"/>
      <c r="H18" s="20"/>
      <c r="I18" s="20"/>
      <c r="J18" s="20"/>
    </row>
    <row r="19" spans="1:10" ht="13.5" thickBot="1">
      <c r="A19" s="73" t="s">
        <v>845</v>
      </c>
      <c r="B19" s="149">
        <f>SUM(B7:B16)</f>
        <v>5</v>
      </c>
      <c r="C19" s="150"/>
      <c r="D19" s="151"/>
      <c r="E19" s="152"/>
      <c r="F19" s="153">
        <f>SUM(F8:F16)</f>
        <v>117282.88608738461</v>
      </c>
      <c r="G19" s="73"/>
      <c r="H19" s="73"/>
      <c r="I19" s="73"/>
      <c r="J19" s="73"/>
    </row>
    <row r="20" spans="1:10">
      <c r="A20" s="73"/>
      <c r="B20" s="154"/>
      <c r="C20" s="73"/>
      <c r="D20" s="73"/>
      <c r="E20" s="154"/>
      <c r="F20" s="73"/>
      <c r="G20" s="73"/>
      <c r="H20" s="73"/>
      <c r="I20" s="73"/>
      <c r="J20" s="73"/>
    </row>
  </sheetData>
  <printOptions horizontalCentered="1"/>
  <pageMargins left="0.75" right="0.75" top="1" bottom="1" header="0.5" footer="0.5"/>
  <pageSetup scale="85" orientation="portrait" horizontalDpi="4294967292" verticalDpi="4294967292" r:id="rId1"/>
  <headerFooter alignWithMargins="0">
    <oddFooter>&amp;LScot Chambers
&amp;D&amp;CPage _____&amp;R&amp;F
&amp;A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R351"/>
  <sheetViews>
    <sheetView topLeftCell="A7" workbookViewId="0">
      <selection activeCell="B47" sqref="B47"/>
    </sheetView>
  </sheetViews>
  <sheetFormatPr defaultRowHeight="12.75"/>
  <cols>
    <col min="6" max="6" width="33" customWidth="1"/>
    <col min="8" max="8" width="12.5703125" customWidth="1"/>
    <col min="9" max="9" width="15.28515625" bestFit="1" customWidth="1"/>
    <col min="11" max="11" width="41.7109375" bestFit="1" customWidth="1"/>
  </cols>
  <sheetData>
    <row r="1" spans="1:44" ht="15.75">
      <c r="A1" s="10" t="str">
        <f>Scope!A1</f>
        <v>City of Austin 4 x LM6000 Power Project</v>
      </c>
      <c r="B1" s="2"/>
      <c r="C1" s="2"/>
      <c r="D1" s="2"/>
      <c r="E1" s="2"/>
      <c r="F1" s="2"/>
      <c r="G1" s="2"/>
      <c r="H1" s="2"/>
      <c r="I1" s="2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</row>
    <row r="2" spans="1:44" ht="15.75">
      <c r="A2" s="89" t="s">
        <v>644</v>
      </c>
      <c r="B2" s="2"/>
      <c r="C2" s="2"/>
      <c r="D2" s="2"/>
      <c r="E2" s="2"/>
      <c r="F2" s="2"/>
      <c r="G2" s="2"/>
      <c r="H2" s="2"/>
      <c r="I2" s="2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</row>
    <row r="3" spans="1:44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>
      <c r="A4" s="3"/>
      <c r="B4" s="3"/>
      <c r="C4" s="3"/>
      <c r="D4" s="3"/>
      <c r="E4" s="3"/>
      <c r="F4" s="3"/>
      <c r="G4" s="3"/>
      <c r="H4" s="7" t="s">
        <v>847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</row>
    <row r="5" spans="1:44">
      <c r="A5" s="3"/>
      <c r="B5" s="3"/>
      <c r="C5" s="3"/>
      <c r="D5" s="3"/>
      <c r="E5" s="3"/>
      <c r="F5" s="3"/>
      <c r="G5" s="155" t="s">
        <v>848</v>
      </c>
      <c r="H5" s="155" t="s">
        <v>849</v>
      </c>
      <c r="I5" s="155" t="s">
        <v>850</v>
      </c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</row>
    <row r="6" spans="1:44">
      <c r="A6" s="40" t="s">
        <v>586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</row>
    <row r="7" spans="1:44">
      <c r="A7" s="3"/>
      <c r="B7" s="3" t="s">
        <v>851</v>
      </c>
      <c r="C7" s="3"/>
      <c r="D7" s="3"/>
      <c r="E7" s="3"/>
      <c r="F7" s="3"/>
      <c r="G7" s="156">
        <v>0.2</v>
      </c>
      <c r="H7" s="156">
        <f>G7*1</f>
        <v>0.2</v>
      </c>
      <c r="I7" s="157">
        <v>0</v>
      </c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</row>
    <row r="8" spans="1:44">
      <c r="A8" s="3"/>
      <c r="B8" s="3" t="s">
        <v>852</v>
      </c>
      <c r="C8" s="3"/>
      <c r="D8" s="3"/>
      <c r="E8" s="3"/>
      <c r="F8" s="3"/>
      <c r="G8" s="156">
        <v>0.6</v>
      </c>
      <c r="H8" s="156">
        <f>G8*1</f>
        <v>0.6</v>
      </c>
      <c r="I8" s="157">
        <v>0</v>
      </c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</row>
    <row r="9" spans="1:44">
      <c r="A9" s="3"/>
      <c r="B9" s="3" t="s">
        <v>574</v>
      </c>
      <c r="C9" s="3"/>
      <c r="D9" s="3"/>
      <c r="E9" s="3"/>
      <c r="F9" s="3"/>
      <c r="G9" s="156">
        <v>0.4</v>
      </c>
      <c r="H9" s="156">
        <f>G9*1</f>
        <v>0.4</v>
      </c>
      <c r="I9" s="157">
        <v>0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</row>
    <row r="10" spans="1:44">
      <c r="A10" s="3"/>
      <c r="B10" s="3" t="s">
        <v>575</v>
      </c>
      <c r="C10" s="3"/>
      <c r="D10" s="3"/>
      <c r="E10" s="3"/>
      <c r="F10" s="3"/>
      <c r="G10" s="158">
        <v>0.6</v>
      </c>
      <c r="H10" s="158">
        <f>G10*1</f>
        <v>0.6</v>
      </c>
      <c r="I10" s="159">
        <v>0</v>
      </c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</row>
    <row r="11" spans="1:44">
      <c r="A11" s="3"/>
      <c r="B11" s="3"/>
      <c r="C11" s="3"/>
      <c r="D11" s="3"/>
      <c r="E11" s="3"/>
      <c r="F11" s="3"/>
      <c r="G11" s="156">
        <f>+SUM(G7:G10)</f>
        <v>1.8000000000000003</v>
      </c>
      <c r="H11" s="156">
        <f>+SUM(H7:H10)</f>
        <v>1.8000000000000003</v>
      </c>
      <c r="I11" s="160">
        <f>SUM(I7:I10)</f>
        <v>0</v>
      </c>
      <c r="J11" s="41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</row>
    <row r="12" spans="1:44">
      <c r="A12" s="3"/>
      <c r="B12" s="3"/>
      <c r="C12" s="3"/>
      <c r="D12" s="3"/>
      <c r="E12" s="3"/>
      <c r="F12" s="3"/>
      <c r="G12" s="156"/>
      <c r="H12" s="156"/>
      <c r="I12" s="157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</row>
    <row r="13" spans="1:44">
      <c r="A13" s="40" t="s">
        <v>580</v>
      </c>
      <c r="B13" s="3"/>
      <c r="C13" s="3"/>
      <c r="D13" s="3"/>
      <c r="E13" s="3"/>
      <c r="F13" s="3"/>
      <c r="G13" s="156"/>
      <c r="H13" s="156"/>
      <c r="I13" s="157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</row>
    <row r="14" spans="1:44" ht="14.25">
      <c r="A14" s="40"/>
      <c r="B14" s="3" t="s">
        <v>565</v>
      </c>
      <c r="C14" s="3"/>
      <c r="D14" s="3"/>
      <c r="E14" s="3"/>
      <c r="F14" s="3"/>
      <c r="G14" s="158">
        <v>0.6</v>
      </c>
      <c r="H14" s="158">
        <f>G14</f>
        <v>0.6</v>
      </c>
      <c r="I14" s="159">
        <f>H14*25</f>
        <v>15</v>
      </c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</row>
    <row r="15" spans="1:44" hidden="1">
      <c r="A15" s="40"/>
      <c r="B15" s="3" t="s">
        <v>853</v>
      </c>
      <c r="C15" s="3"/>
      <c r="D15" s="3"/>
      <c r="E15" s="3"/>
      <c r="F15" s="3"/>
      <c r="G15" s="156">
        <v>0</v>
      </c>
      <c r="H15" s="156">
        <f>G15</f>
        <v>0</v>
      </c>
      <c r="I15" s="157">
        <f>H15*8</f>
        <v>0</v>
      </c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</row>
    <row r="16" spans="1:44" hidden="1">
      <c r="A16" s="3"/>
      <c r="B16" s="29" t="s">
        <v>854</v>
      </c>
      <c r="C16" s="3"/>
      <c r="D16" s="3"/>
      <c r="E16" s="3"/>
      <c r="F16" s="3"/>
      <c r="G16" s="158">
        <v>0</v>
      </c>
      <c r="H16" s="158">
        <f>G16*1</f>
        <v>0</v>
      </c>
      <c r="I16" s="161">
        <f>H16*8</f>
        <v>0</v>
      </c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</row>
    <row r="17" spans="1:44">
      <c r="A17" s="3"/>
      <c r="B17" s="29"/>
      <c r="C17" s="3"/>
      <c r="D17" s="3"/>
      <c r="E17" s="3"/>
      <c r="F17" s="3"/>
      <c r="G17" s="156">
        <f>SUM(G14:G16)</f>
        <v>0.6</v>
      </c>
      <c r="H17" s="156">
        <f>SUM(H14:H16)</f>
        <v>0.6</v>
      </c>
      <c r="I17" s="156">
        <f>SUM(I14:I16)</f>
        <v>15</v>
      </c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</row>
    <row r="18" spans="1:44">
      <c r="A18" s="3"/>
      <c r="B18" s="29"/>
      <c r="C18" s="3"/>
      <c r="D18" s="3"/>
      <c r="E18" s="3"/>
      <c r="F18" s="3"/>
      <c r="G18" s="156"/>
      <c r="H18" s="156"/>
      <c r="I18" s="157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</row>
    <row r="19" spans="1:44">
      <c r="A19" s="40" t="s">
        <v>584</v>
      </c>
      <c r="B19" s="29"/>
      <c r="C19" s="3"/>
      <c r="D19" s="3"/>
      <c r="E19" s="3"/>
      <c r="F19" s="3"/>
      <c r="G19" s="156"/>
      <c r="H19" s="156"/>
      <c r="I19" s="157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</row>
    <row r="20" spans="1:44">
      <c r="A20" s="162" t="s">
        <v>855</v>
      </c>
      <c r="B20" s="29" t="s">
        <v>585</v>
      </c>
      <c r="C20" s="3"/>
      <c r="D20" s="3"/>
      <c r="E20" s="3"/>
      <c r="F20" s="3"/>
      <c r="G20" s="163">
        <v>0.4</v>
      </c>
      <c r="H20" s="163">
        <f>G20</f>
        <v>0.4</v>
      </c>
      <c r="I20" s="164">
        <v>0</v>
      </c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</row>
    <row r="21" spans="1:44">
      <c r="A21" s="3"/>
      <c r="B21" s="29"/>
      <c r="C21" s="3"/>
      <c r="D21" s="3"/>
      <c r="E21" s="3"/>
      <c r="F21" s="3"/>
      <c r="G21" s="156">
        <f>SUM(G20)</f>
        <v>0.4</v>
      </c>
      <c r="H21" s="156">
        <f>G21*1</f>
        <v>0.4</v>
      </c>
      <c r="I21" s="165">
        <v>0</v>
      </c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</row>
    <row r="22" spans="1:44">
      <c r="A22" s="3"/>
      <c r="B22" s="29"/>
      <c r="C22" s="3"/>
      <c r="D22" s="3"/>
      <c r="E22" s="3"/>
      <c r="F22" s="3"/>
      <c r="G22" s="156"/>
      <c r="H22" s="156"/>
      <c r="I22" s="157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</row>
    <row r="23" spans="1:44">
      <c r="A23" s="40" t="s">
        <v>581</v>
      </c>
      <c r="B23" s="29"/>
      <c r="C23" s="3"/>
      <c r="D23" s="3"/>
      <c r="E23" s="3"/>
      <c r="F23" s="3"/>
      <c r="G23" s="156"/>
      <c r="H23" s="156"/>
      <c r="I23" s="157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</row>
    <row r="24" spans="1:44">
      <c r="A24" s="3"/>
      <c r="B24" s="29" t="s">
        <v>573</v>
      </c>
      <c r="C24" s="3"/>
      <c r="D24" s="3"/>
      <c r="E24" s="3"/>
      <c r="F24" s="3"/>
      <c r="G24" s="156">
        <v>0.6</v>
      </c>
      <c r="H24" s="156">
        <f>G24*1</f>
        <v>0.6</v>
      </c>
      <c r="I24" s="165">
        <f>H24*25</f>
        <v>15</v>
      </c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</row>
    <row r="25" spans="1:44" hidden="1">
      <c r="A25" s="3"/>
      <c r="B25" s="29" t="s">
        <v>856</v>
      </c>
      <c r="C25" s="3"/>
      <c r="D25" s="3"/>
      <c r="E25" s="3"/>
      <c r="F25" s="3"/>
      <c r="G25" s="156">
        <v>0</v>
      </c>
      <c r="H25" s="156">
        <f>G25*1</f>
        <v>0</v>
      </c>
      <c r="I25" s="165">
        <f>H25*8</f>
        <v>0</v>
      </c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</row>
    <row r="26" spans="1:44" ht="14.25">
      <c r="A26" s="3"/>
      <c r="B26" s="29" t="s">
        <v>583</v>
      </c>
      <c r="C26" s="3"/>
      <c r="D26" s="3"/>
      <c r="E26" s="3"/>
      <c r="F26" s="3"/>
      <c r="G26" s="158">
        <v>0.6</v>
      </c>
      <c r="H26" s="158">
        <f>G26*1</f>
        <v>0.6</v>
      </c>
      <c r="I26" s="161">
        <f>25*H26</f>
        <v>15</v>
      </c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</row>
    <row r="27" spans="1:44">
      <c r="A27" s="3"/>
      <c r="B27" s="29"/>
      <c r="C27" s="3"/>
      <c r="D27" s="3"/>
      <c r="E27" s="3"/>
      <c r="F27" s="3"/>
      <c r="G27" s="156">
        <f>SUM(G24:G26)</f>
        <v>1.2</v>
      </c>
      <c r="H27" s="156">
        <f>SUM(H24:H26)</f>
        <v>1.2</v>
      </c>
      <c r="I27" s="156">
        <f>SUM(I24:I26)</f>
        <v>30</v>
      </c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</row>
    <row r="28" spans="1:44">
      <c r="A28" s="3"/>
      <c r="B28" s="29"/>
      <c r="C28" s="3"/>
      <c r="D28" s="3"/>
      <c r="E28" s="3"/>
      <c r="F28" s="3"/>
      <c r="G28" s="156"/>
      <c r="H28" s="156"/>
      <c r="I28" s="157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</row>
    <row r="29" spans="1:44">
      <c r="A29" s="40" t="s">
        <v>579</v>
      </c>
      <c r="B29" s="29"/>
      <c r="C29" s="3"/>
      <c r="D29" s="3"/>
      <c r="E29" s="3"/>
      <c r="F29" s="3"/>
      <c r="G29" s="156"/>
      <c r="H29" s="156"/>
      <c r="I29" s="157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</row>
    <row r="30" spans="1:44">
      <c r="A30" s="40"/>
      <c r="B30" s="29" t="s">
        <v>570</v>
      </c>
      <c r="C30" s="3"/>
      <c r="D30" s="3"/>
      <c r="E30" s="3"/>
      <c r="F30" s="3"/>
      <c r="G30" s="156">
        <v>1</v>
      </c>
      <c r="H30" s="156">
        <f>G30</f>
        <v>1</v>
      </c>
      <c r="I30" s="157">
        <f>2*1924/1000</f>
        <v>3.8479999999999999</v>
      </c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</row>
    <row r="31" spans="1:44">
      <c r="A31" s="3"/>
      <c r="B31" s="29" t="s">
        <v>571</v>
      </c>
      <c r="C31" s="3"/>
      <c r="D31" s="3"/>
      <c r="E31" s="3"/>
      <c r="F31" s="3"/>
      <c r="G31">
        <f>7/5</f>
        <v>1.4</v>
      </c>
      <c r="H31" s="156">
        <f>G31</f>
        <v>1.4</v>
      </c>
      <c r="I31" s="418">
        <f>2*4235/1000</f>
        <v>8.4700000000000006</v>
      </c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</row>
    <row r="32" spans="1:44">
      <c r="A32" s="3"/>
      <c r="B32" s="29" t="s">
        <v>572</v>
      </c>
      <c r="C32" s="3"/>
      <c r="D32" s="3"/>
      <c r="E32" s="3"/>
      <c r="F32" s="3"/>
      <c r="G32" s="158">
        <v>0.6</v>
      </c>
      <c r="H32" s="158">
        <f>G32</f>
        <v>0.6</v>
      </c>
      <c r="I32" s="161">
        <f>2*1767/1000</f>
        <v>3.5339999999999998</v>
      </c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</row>
    <row r="33" spans="1:44">
      <c r="A33" s="3"/>
      <c r="B33" s="29"/>
      <c r="C33" s="3"/>
      <c r="D33" s="3"/>
      <c r="E33" s="3"/>
      <c r="F33" s="3"/>
      <c r="G33" s="156">
        <f>SUM(G30:G32)</f>
        <v>3</v>
      </c>
      <c r="H33" s="156">
        <f>SUM(H30:H32)</f>
        <v>3</v>
      </c>
      <c r="I33" s="156">
        <f>SUM(I30:I32)</f>
        <v>15.852</v>
      </c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</row>
    <row r="34" spans="1:44">
      <c r="A34" s="40" t="s">
        <v>578</v>
      </c>
      <c r="B34" s="29"/>
      <c r="C34" s="3"/>
      <c r="D34" s="3"/>
      <c r="E34" s="3"/>
      <c r="F34" s="3"/>
      <c r="G34" s="156"/>
      <c r="H34" s="156"/>
      <c r="I34" s="157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</row>
    <row r="35" spans="1:44">
      <c r="A35" s="40"/>
      <c r="B35" s="29" t="s">
        <v>573</v>
      </c>
      <c r="C35" s="3"/>
      <c r="D35" s="3"/>
      <c r="E35" s="3"/>
      <c r="F35" s="3"/>
      <c r="G35" s="156">
        <v>2</v>
      </c>
      <c r="H35" s="156">
        <f>G35</f>
        <v>2</v>
      </c>
      <c r="I35" s="157">
        <f>3*5000/1000</f>
        <v>15</v>
      </c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</row>
    <row r="36" spans="1:44">
      <c r="A36" s="3"/>
      <c r="B36" s="29" t="s">
        <v>582</v>
      </c>
      <c r="C36" s="3"/>
      <c r="D36" s="3"/>
      <c r="E36" s="3"/>
      <c r="F36" s="3"/>
      <c r="G36" s="156">
        <v>0.6</v>
      </c>
      <c r="H36" s="156">
        <f>G36</f>
        <v>0.6</v>
      </c>
      <c r="I36" s="165">
        <f>3*2000/1000</f>
        <v>6</v>
      </c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</row>
    <row r="37" spans="1:44" hidden="1">
      <c r="A37" s="3"/>
      <c r="B37" s="29" t="s">
        <v>857</v>
      </c>
      <c r="C37" s="3"/>
      <c r="D37" s="3"/>
      <c r="E37" s="3"/>
      <c r="F37" s="3"/>
      <c r="G37" s="156">
        <v>0</v>
      </c>
      <c r="H37" s="156">
        <f>G37</f>
        <v>0</v>
      </c>
      <c r="I37" s="165">
        <f>H37*8</f>
        <v>0</v>
      </c>
      <c r="J37" s="3"/>
      <c r="K37" s="3" t="s">
        <v>568</v>
      </c>
      <c r="L37" s="3" t="s">
        <v>569</v>
      </c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</row>
    <row r="38" spans="1:44">
      <c r="A38" s="3"/>
      <c r="B38" s="29" t="s">
        <v>858</v>
      </c>
      <c r="C38" s="3"/>
      <c r="D38" s="3"/>
      <c r="E38" s="3"/>
      <c r="F38" s="3"/>
      <c r="G38" s="163">
        <v>0.4</v>
      </c>
      <c r="H38" s="158">
        <f>G38</f>
        <v>0.4</v>
      </c>
      <c r="I38" s="161">
        <f>20*H38</f>
        <v>8</v>
      </c>
      <c r="J38" s="3"/>
      <c r="K38" s="3"/>
      <c r="L38" s="417"/>
      <c r="M38" s="417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</row>
    <row r="39" spans="1:44">
      <c r="A39" s="3"/>
      <c r="B39" s="3"/>
      <c r="C39" s="3"/>
      <c r="D39" s="3"/>
      <c r="E39" s="3"/>
      <c r="F39" s="3"/>
      <c r="G39" s="156">
        <f>SUM(G35:G38)</f>
        <v>3</v>
      </c>
      <c r="H39" s="156">
        <f>G39</f>
        <v>3</v>
      </c>
      <c r="I39" s="166">
        <f>SUM(I35:I38)</f>
        <v>29</v>
      </c>
      <c r="J39" s="3"/>
      <c r="K39" s="3"/>
      <c r="L39" s="34"/>
      <c r="M39" s="34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</row>
    <row r="40" spans="1:44">
      <c r="A40" s="3"/>
      <c r="B40" s="3"/>
      <c r="C40" s="3"/>
      <c r="D40" s="3"/>
      <c r="E40" s="3"/>
      <c r="F40" s="3"/>
      <c r="G40" s="156"/>
      <c r="H40" s="166"/>
      <c r="I40" s="166"/>
      <c r="J40" s="3"/>
      <c r="K40" s="3"/>
      <c r="L40" s="34"/>
      <c r="M40" s="34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</row>
    <row r="41" spans="1:44">
      <c r="A41" s="40" t="s">
        <v>859</v>
      </c>
      <c r="B41" s="3"/>
      <c r="C41" s="3"/>
      <c r="D41" s="3"/>
      <c r="E41" s="3"/>
      <c r="F41" s="3"/>
      <c r="G41" s="156"/>
      <c r="H41" s="156">
        <f>H39+H33+H27+H21+H17+H11</f>
        <v>10.000000000000002</v>
      </c>
      <c r="I41" s="166">
        <f>I39+I33+I27+I21+I17+I11</f>
        <v>89.852000000000004</v>
      </c>
      <c r="J41" s="3"/>
      <c r="K41" s="3"/>
      <c r="L41" s="34"/>
      <c r="M41" s="34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</row>
    <row r="42" spans="1:44">
      <c r="A42" s="3"/>
      <c r="B42" s="3"/>
      <c r="C42" s="3"/>
      <c r="D42" s="3"/>
      <c r="E42" s="3"/>
      <c r="F42" s="3"/>
      <c r="G42" s="156"/>
      <c r="H42" s="156"/>
      <c r="I42" s="157"/>
      <c r="J42" s="3"/>
      <c r="K42" s="3"/>
      <c r="L42" s="34"/>
      <c r="M42" s="34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</row>
    <row r="43" spans="1:44">
      <c r="A43" s="40" t="s">
        <v>860</v>
      </c>
      <c r="B43" s="3"/>
      <c r="C43" s="3"/>
      <c r="D43" s="3"/>
      <c r="E43" s="3"/>
      <c r="F43" s="3"/>
      <c r="G43" s="156"/>
      <c r="H43" s="156"/>
      <c r="I43" s="157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</row>
    <row r="44" spans="1:44">
      <c r="A44" s="3"/>
      <c r="B44" s="3" t="s">
        <v>590</v>
      </c>
      <c r="C44" s="3"/>
      <c r="D44" s="3"/>
      <c r="E44" s="3"/>
      <c r="F44" s="3"/>
      <c r="G44" s="156"/>
      <c r="H44" s="156"/>
      <c r="I44" s="418">
        <f>(2*19*150+3*19*150)/1000</f>
        <v>14.25</v>
      </c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</row>
    <row r="45" spans="1:44">
      <c r="A45" s="3"/>
      <c r="B45" s="3" t="s">
        <v>587</v>
      </c>
      <c r="C45" s="3"/>
      <c r="D45" s="3"/>
      <c r="E45" s="3"/>
      <c r="F45" s="3"/>
      <c r="G45" s="156"/>
      <c r="H45" s="156"/>
      <c r="I45" s="165">
        <f>1.8*5*150/1000</f>
        <v>1.35</v>
      </c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</row>
    <row r="46" spans="1:44">
      <c r="A46" s="3"/>
      <c r="B46" s="3" t="s">
        <v>588</v>
      </c>
      <c r="C46" s="3"/>
      <c r="D46" s="3"/>
      <c r="E46" s="3"/>
      <c r="F46" s="3"/>
      <c r="G46" s="156"/>
      <c r="H46" s="156"/>
      <c r="I46" s="165">
        <v>8</v>
      </c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</row>
    <row r="47" spans="1:44">
      <c r="A47" s="3"/>
      <c r="B47" s="3" t="s">
        <v>589</v>
      </c>
      <c r="C47" s="3"/>
      <c r="D47" s="3"/>
      <c r="E47" s="3"/>
      <c r="F47" s="3"/>
      <c r="G47" s="156"/>
      <c r="H47" s="156"/>
      <c r="I47" s="161">
        <v>3</v>
      </c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</row>
    <row r="48" spans="1:44" hidden="1">
      <c r="B48" s="167" t="s">
        <v>861</v>
      </c>
      <c r="C48" s="3"/>
      <c r="D48" s="3"/>
      <c r="E48" s="3"/>
      <c r="F48" s="3"/>
      <c r="G48" s="156"/>
      <c r="H48" s="156"/>
      <c r="I48" s="168">
        <v>0</v>
      </c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</row>
    <row r="49" spans="1:44">
      <c r="A49" s="3"/>
      <c r="B49" s="3"/>
      <c r="C49" s="3"/>
      <c r="D49" s="3"/>
      <c r="E49" s="3"/>
      <c r="F49" s="3"/>
      <c r="G49" s="156"/>
      <c r="H49" s="156"/>
      <c r="I49" s="169">
        <f>SUM(I45:I48)</f>
        <v>12.35</v>
      </c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</row>
    <row r="50" spans="1:44">
      <c r="A50" s="3"/>
      <c r="B50" s="3"/>
      <c r="C50" s="3"/>
      <c r="D50" s="3"/>
      <c r="E50" s="3"/>
      <c r="F50" s="3"/>
      <c r="G50" s="156"/>
      <c r="H50" s="156"/>
      <c r="I50" s="169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</row>
    <row r="51" spans="1:44">
      <c r="A51" s="40" t="s">
        <v>862</v>
      </c>
      <c r="B51" s="3"/>
      <c r="C51" s="3"/>
      <c r="D51" s="3"/>
      <c r="E51" s="40"/>
      <c r="F51" s="3"/>
      <c r="G51" s="156"/>
      <c r="H51" s="166"/>
      <c r="I51" s="157">
        <f>SUM(I45:I48)+I41</f>
        <v>102.202</v>
      </c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</row>
    <row r="52" spans="1:44">
      <c r="A52" s="3"/>
      <c r="B52" s="40" t="s">
        <v>863</v>
      </c>
      <c r="C52" s="3"/>
      <c r="D52" s="3"/>
      <c r="E52" s="3"/>
      <c r="F52" s="3"/>
      <c r="G52" s="3"/>
      <c r="H52" s="3"/>
      <c r="I52" s="159">
        <f>I14+I26</f>
        <v>30</v>
      </c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</row>
    <row r="53" spans="1:44">
      <c r="A53" s="40" t="s">
        <v>864</v>
      </c>
      <c r="B53" s="40"/>
      <c r="C53" s="3"/>
      <c r="D53" s="3"/>
      <c r="E53" s="3"/>
      <c r="F53" s="3"/>
      <c r="G53" s="3"/>
      <c r="H53" s="3"/>
      <c r="I53" s="157">
        <f>I51-I52</f>
        <v>72.201999999999998</v>
      </c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</row>
    <row r="54" spans="1:44">
      <c r="A54" s="3"/>
      <c r="B54" s="40"/>
      <c r="C54" s="3"/>
      <c r="D54" s="3"/>
      <c r="E54" s="3"/>
      <c r="F54" s="3"/>
      <c r="G54" s="3"/>
      <c r="H54" s="3"/>
      <c r="I54" s="157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</row>
    <row r="55" spans="1:44">
      <c r="A55" s="3" t="s">
        <v>865</v>
      </c>
      <c r="B55" s="3"/>
      <c r="C55" s="3"/>
      <c r="D55" s="3"/>
      <c r="E55" s="3"/>
      <c r="F55" s="3"/>
      <c r="G55" s="3"/>
      <c r="H55" s="3"/>
      <c r="I55" s="170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</row>
    <row r="56" spans="1:44">
      <c r="A56" s="3" t="s">
        <v>866</v>
      </c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</row>
    <row r="57" spans="1:44">
      <c r="A57" s="3" t="s">
        <v>867</v>
      </c>
      <c r="B57" s="3" t="s">
        <v>576</v>
      </c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</row>
    <row r="58" spans="1:44">
      <c r="A58" s="3"/>
      <c r="B58" s="3" t="s">
        <v>577</v>
      </c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</row>
    <row r="59" spans="1:44">
      <c r="A59" s="3"/>
      <c r="B59" s="3" t="s">
        <v>868</v>
      </c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</row>
    <row r="60" spans="1:44">
      <c r="A60" s="3" t="s">
        <v>869</v>
      </c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</row>
    <row r="61" spans="1:44">
      <c r="A61" s="3" t="s">
        <v>593</v>
      </c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</row>
    <row r="62" spans="1:44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</row>
    <row r="63" spans="1:44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</row>
    <row r="64" spans="1:4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</row>
    <row r="65" spans="1:44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</row>
    <row r="66" spans="1:44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</row>
    <row r="67" spans="1:44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</row>
    <row r="68" spans="1:44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</row>
    <row r="69" spans="1:44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</row>
    <row r="70" spans="1:44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</row>
    <row r="71" spans="1:44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</row>
    <row r="72" spans="1:44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</row>
    <row r="73" spans="1:44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</row>
    <row r="74" spans="1:4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</row>
    <row r="75" spans="1:44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</row>
    <row r="76" spans="1:44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</row>
    <row r="77" spans="1:44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</row>
    <row r="78" spans="1:44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</row>
    <row r="79" spans="1:44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</row>
    <row r="80" spans="1:44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</row>
    <row r="81" spans="1:44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</row>
    <row r="82" spans="1:44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</row>
    <row r="83" spans="1:44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</row>
    <row r="84" spans="1:4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</row>
    <row r="85" spans="1:44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</row>
    <row r="86" spans="1:44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</row>
    <row r="87" spans="1:44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</row>
    <row r="88" spans="1:44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</row>
    <row r="89" spans="1:44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</row>
    <row r="90" spans="1:44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</row>
    <row r="91" spans="1:44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</row>
    <row r="92" spans="1:44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</row>
    <row r="93" spans="1:44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</row>
    <row r="94" spans="1:4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</row>
    <row r="95" spans="1:44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</row>
    <row r="96" spans="1:44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</row>
    <row r="97" spans="1:44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</row>
    <row r="98" spans="1:44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</row>
    <row r="99" spans="1:44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</row>
    <row r="100" spans="1:44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</row>
    <row r="101" spans="1:44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</row>
    <row r="102" spans="1:44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</row>
    <row r="103" spans="1:44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</row>
    <row r="104" spans="1:4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</row>
    <row r="105" spans="1:44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</row>
    <row r="106" spans="1:44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</row>
    <row r="107" spans="1:44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</row>
    <row r="108" spans="1:44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</row>
    <row r="109" spans="1:44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</row>
    <row r="110" spans="1:44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</row>
    <row r="111" spans="1:44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</row>
    <row r="112" spans="1:44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</row>
    <row r="113" spans="1:44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</row>
    <row r="114" spans="1:4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</row>
    <row r="115" spans="1:44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</row>
    <row r="116" spans="1:44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</row>
    <row r="117" spans="1:44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</row>
    <row r="118" spans="1:44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</row>
    <row r="119" spans="1:44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</row>
    <row r="120" spans="1:44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</row>
    <row r="121" spans="1:44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</row>
    <row r="122" spans="1:44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</row>
    <row r="123" spans="1:44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</row>
    <row r="124" spans="1:4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</row>
    <row r="125" spans="1:44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</row>
    <row r="126" spans="1:44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</row>
    <row r="127" spans="1:44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</row>
    <row r="128" spans="1:44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</row>
    <row r="129" spans="1:44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</row>
    <row r="130" spans="1:44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</row>
    <row r="131" spans="1:44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</row>
    <row r="132" spans="1:44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</row>
    <row r="133" spans="1:44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</row>
    <row r="134" spans="1:4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</row>
    <row r="135" spans="1:44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</row>
    <row r="136" spans="1:44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</row>
    <row r="137" spans="1:44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</row>
    <row r="138" spans="1:44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</row>
    <row r="139" spans="1:44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</row>
    <row r="140" spans="1:44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</row>
    <row r="141" spans="1:44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</row>
    <row r="142" spans="1:44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</row>
    <row r="143" spans="1:44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</row>
    <row r="144" spans="1: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</row>
    <row r="145" spans="1:44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</row>
    <row r="146" spans="1:44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</row>
    <row r="147" spans="1:44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</row>
    <row r="148" spans="1:44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</row>
    <row r="149" spans="1:44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</row>
    <row r="150" spans="1:44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</row>
    <row r="151" spans="1:44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</row>
    <row r="152" spans="1:44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</row>
    <row r="153" spans="1:44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</row>
    <row r="154" spans="1:4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</row>
    <row r="155" spans="1:44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</row>
    <row r="156" spans="1:44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</row>
    <row r="157" spans="1:44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</row>
    <row r="158" spans="1:44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</row>
    <row r="159" spans="1:44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</row>
    <row r="160" spans="1:44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</row>
    <row r="161" spans="1:44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</row>
    <row r="162" spans="1:44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</row>
    <row r="163" spans="1:44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</row>
    <row r="164" spans="1:4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</row>
    <row r="165" spans="1:44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</row>
    <row r="166" spans="1:44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</row>
    <row r="167" spans="1:44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</row>
    <row r="168" spans="1:44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</row>
    <row r="169" spans="1:44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</row>
    <row r="170" spans="1:44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</row>
    <row r="171" spans="1:44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</row>
    <row r="172" spans="1:44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</row>
    <row r="173" spans="1:44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</row>
    <row r="174" spans="1:4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</row>
    <row r="175" spans="1:44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</row>
    <row r="176" spans="1:44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</row>
    <row r="177" spans="1:44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</row>
    <row r="178" spans="1:44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</row>
    <row r="179" spans="1:44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</row>
    <row r="180" spans="1:44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</row>
    <row r="181" spans="1:44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</row>
    <row r="182" spans="1:44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</row>
    <row r="183" spans="1:44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</row>
    <row r="184" spans="1:4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</row>
    <row r="185" spans="1:44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</row>
    <row r="186" spans="1:44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</row>
    <row r="187" spans="1:44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</row>
    <row r="188" spans="1:44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</row>
    <row r="189" spans="1:44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</row>
    <row r="190" spans="1:44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</row>
    <row r="191" spans="1:44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</row>
    <row r="192" spans="1:44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</row>
    <row r="193" spans="1:44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</row>
    <row r="194" spans="1:4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</row>
    <row r="195" spans="1:44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</row>
    <row r="196" spans="1:44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</row>
    <row r="197" spans="1:44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</row>
    <row r="198" spans="1:44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</row>
    <row r="199" spans="1:44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</row>
    <row r="200" spans="1:44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</row>
    <row r="201" spans="1:44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</row>
    <row r="202" spans="1:44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</row>
    <row r="203" spans="1:44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</row>
    <row r="204" spans="1:4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</row>
    <row r="205" spans="1:44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</row>
    <row r="206" spans="1:44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</row>
    <row r="207" spans="1:44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</row>
    <row r="208" spans="1:44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</row>
    <row r="209" spans="1:44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</row>
    <row r="210" spans="1:44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</row>
    <row r="211" spans="1:44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</row>
    <row r="212" spans="1:44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</row>
    <row r="213" spans="1:44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</row>
    <row r="214" spans="1:4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</row>
    <row r="215" spans="1:44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</row>
    <row r="216" spans="1:44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</row>
    <row r="217" spans="1:44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</row>
    <row r="218" spans="1:44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</row>
    <row r="219" spans="1:44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</row>
    <row r="220" spans="1:44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</row>
    <row r="221" spans="1:44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</row>
    <row r="222" spans="1:44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</row>
    <row r="223" spans="1:44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</row>
    <row r="224" spans="1:4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</row>
    <row r="225" spans="1:44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</row>
    <row r="226" spans="1:44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</row>
    <row r="227" spans="1:44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</row>
    <row r="228" spans="1:44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</row>
    <row r="229" spans="1:44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</row>
    <row r="230" spans="1:44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</row>
    <row r="231" spans="1:44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</row>
    <row r="232" spans="1:44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</row>
    <row r="233" spans="1:44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</row>
    <row r="234" spans="1:4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</row>
    <row r="235" spans="1:44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</row>
    <row r="236" spans="1:44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</row>
    <row r="237" spans="1:44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</row>
    <row r="238" spans="1:44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</row>
    <row r="239" spans="1:44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</row>
    <row r="240" spans="1:44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</row>
    <row r="241" spans="1:44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</row>
    <row r="242" spans="1:44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</row>
    <row r="243" spans="1:44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</row>
    <row r="244" spans="1: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</row>
    <row r="245" spans="1:44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</row>
    <row r="246" spans="1:44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</row>
    <row r="247" spans="1:44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</row>
    <row r="248" spans="1:44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</row>
    <row r="249" spans="1:44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</row>
    <row r="250" spans="1:44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</row>
    <row r="251" spans="1:44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</row>
    <row r="252" spans="1:44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</row>
    <row r="253" spans="1:44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</row>
    <row r="254" spans="1:4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</row>
    <row r="255" spans="1:44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</row>
    <row r="256" spans="1:44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</row>
    <row r="257" spans="1:44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</row>
    <row r="258" spans="1:44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</row>
    <row r="259" spans="1:44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</row>
    <row r="260" spans="1:44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</row>
    <row r="261" spans="1:44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</row>
    <row r="262" spans="1:44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</row>
    <row r="263" spans="1:44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</row>
    <row r="264" spans="1:4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</row>
    <row r="265" spans="1:44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</row>
    <row r="266" spans="1:44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</row>
    <row r="267" spans="1:44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</row>
    <row r="268" spans="1:44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</row>
    <row r="269" spans="1:44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</row>
    <row r="270" spans="1:44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</row>
    <row r="271" spans="1:44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</row>
    <row r="272" spans="1:44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</row>
    <row r="273" spans="1:44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</row>
    <row r="274" spans="1:4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</row>
    <row r="275" spans="1:44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</row>
    <row r="276" spans="1:44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</row>
    <row r="277" spans="1:44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</row>
    <row r="278" spans="1:44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</row>
    <row r="279" spans="1:44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</row>
    <row r="280" spans="1:44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</row>
    <row r="281" spans="1:44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</row>
    <row r="282" spans="1:44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</row>
    <row r="283" spans="1:44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</row>
    <row r="284" spans="1:4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</row>
    <row r="285" spans="1:44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</row>
    <row r="286" spans="1:44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</row>
    <row r="287" spans="1:44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</row>
    <row r="288" spans="1:44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</row>
    <row r="289" spans="1:44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</row>
    <row r="290" spans="1:44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</row>
    <row r="291" spans="1:44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</row>
    <row r="292" spans="1:44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</row>
    <row r="293" spans="1:44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</row>
    <row r="294" spans="1:4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</row>
    <row r="295" spans="1:44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</row>
    <row r="296" spans="1:44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</row>
    <row r="297" spans="1:44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</row>
    <row r="298" spans="1:44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</row>
    <row r="299" spans="1:44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</row>
    <row r="300" spans="1:44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</row>
    <row r="301" spans="1:44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</row>
    <row r="302" spans="1:44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</row>
    <row r="303" spans="1:44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</row>
    <row r="304" spans="1:4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</row>
    <row r="305" spans="1:44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</row>
    <row r="306" spans="1:44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</row>
    <row r="307" spans="1:44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</row>
    <row r="308" spans="1:44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</row>
    <row r="309" spans="1:44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</row>
    <row r="310" spans="1:44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</row>
    <row r="311" spans="1:44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</row>
    <row r="312" spans="1:44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</row>
    <row r="313" spans="1:44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</row>
    <row r="314" spans="1:4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</row>
    <row r="315" spans="1:44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</row>
    <row r="316" spans="1:44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</row>
    <row r="317" spans="1:44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</row>
    <row r="318" spans="1:44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</row>
    <row r="319" spans="1:44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</row>
    <row r="320" spans="1:44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</row>
    <row r="321" spans="1:44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</row>
    <row r="322" spans="1:44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</row>
    <row r="323" spans="1:44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</row>
    <row r="324" spans="1:4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</row>
    <row r="325" spans="1:44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</row>
    <row r="326" spans="1:44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</row>
    <row r="327" spans="1:44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</row>
    <row r="328" spans="1:44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</row>
    <row r="329" spans="1:44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</row>
    <row r="330" spans="1:44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</row>
    <row r="331" spans="1:44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</row>
    <row r="332" spans="1:44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</row>
    <row r="333" spans="1:44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</row>
    <row r="334" spans="1:4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</row>
    <row r="335" spans="1:44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</row>
    <row r="336" spans="1:44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</row>
    <row r="337" spans="1:44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</row>
    <row r="338" spans="1:44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</row>
    <row r="339" spans="1:44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</row>
    <row r="340" spans="1:44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</row>
    <row r="341" spans="1:44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</row>
    <row r="342" spans="1:44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</row>
    <row r="343" spans="1:44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</row>
    <row r="344" spans="1: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</row>
    <row r="345" spans="1:44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</row>
    <row r="346" spans="1:44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</row>
    <row r="347" spans="1:44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</row>
    <row r="348" spans="1:44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</row>
    <row r="349" spans="1:44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</row>
    <row r="350" spans="1:44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</row>
    <row r="351" spans="1:44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</row>
  </sheetData>
  <printOptions horizontalCentered="1"/>
  <pageMargins left="0.75" right="0.75" top="1" bottom="1" header="0.5" footer="0.5"/>
  <pageSetup scale="78" orientation="portrait" horizontalDpi="4294967292" verticalDpi="4294967292" r:id="rId1"/>
  <headerFooter alignWithMargins="0">
    <oddFooter>&amp;LScot Chambers
&amp;D&amp;CPage _____&amp;R&amp;F
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10</vt:i4>
      </vt:variant>
    </vt:vector>
  </HeadingPairs>
  <TitlesOfParts>
    <vt:vector size="26" baseType="lpstr">
      <vt:lpstr>Table of Contents</vt:lpstr>
      <vt:lpstr>Scope</vt:lpstr>
      <vt:lpstr>Assumptions</vt:lpstr>
      <vt:lpstr>Map</vt:lpstr>
      <vt:lpstr>Summary</vt:lpstr>
      <vt:lpstr>Mob_Estimate</vt:lpstr>
      <vt:lpstr>Mob_Schedule</vt:lpstr>
      <vt:lpstr>Mob_Staffing</vt:lpstr>
      <vt:lpstr>Training</vt:lpstr>
      <vt:lpstr>ScopeSplit</vt:lpstr>
      <vt:lpstr>Mob_Backup</vt:lpstr>
      <vt:lpstr>O&amp;M_Estimate</vt:lpstr>
      <vt:lpstr>Plt_Staff</vt:lpstr>
      <vt:lpstr>Pay &amp; Benefits Calculations</vt:lpstr>
      <vt:lpstr>O&amp;M_Backup</vt:lpstr>
      <vt:lpstr>LM6000PC_MMR_Gas</vt:lpstr>
      <vt:lpstr>'O&amp;M_Backup'!CompleteFilterPrint</vt:lpstr>
      <vt:lpstr>Mob_Backup!Print_Area</vt:lpstr>
      <vt:lpstr>Mob_Estimate!Print_Area</vt:lpstr>
      <vt:lpstr>Mob_Schedule!Print_Area</vt:lpstr>
      <vt:lpstr>'O&amp;M_Backup'!Print_Area</vt:lpstr>
      <vt:lpstr>'O&amp;M_Estimate'!Print_Area</vt:lpstr>
      <vt:lpstr>ScopeSplit!Print_Area</vt:lpstr>
      <vt:lpstr>Summary!Print_Area</vt:lpstr>
      <vt:lpstr>'Table of Contents'!Print_Area</vt:lpstr>
      <vt:lpstr>Training!Print_Area</vt:lpstr>
    </vt:vector>
  </TitlesOfParts>
  <Company>EI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</dc:creator>
  <cp:lastModifiedBy>Jan Havlíček</cp:lastModifiedBy>
  <cp:lastPrinted>2000-03-03T20:37:25Z</cp:lastPrinted>
  <dcterms:created xsi:type="dcterms:W3CDTF">2000-03-02T22:37:36Z</dcterms:created>
  <dcterms:modified xsi:type="dcterms:W3CDTF">2023-09-13T22:06:52Z</dcterms:modified>
</cp:coreProperties>
</file>